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120" yWindow="-120" windowWidth="20730" windowHeight="11040" firstSheet="1" activeTab="7"/>
  </bookViews>
  <sheets>
    <sheet name="foxz" sheetId="2" state="veryHidden" r:id="rId1"/>
    <sheet name="1.TP ĐBP " sheetId="25" r:id="rId2"/>
    <sheet name="2. Điện Biên Đông" sheetId="3" r:id="rId3"/>
    <sheet name="3. Mường Ảng" sheetId="23" r:id="rId4"/>
    <sheet name="4.Tuần Giáo" sheetId="12" r:id="rId5"/>
    <sheet name="5.Mường Chà" sheetId="21" r:id="rId6"/>
    <sheet name="6.Tủa Chùa" sheetId="24" r:id="rId7"/>
    <sheet name="7. Mường Lay" sheetId="11" r:id="rId8"/>
  </sheets>
  <definedNames>
    <definedName name="_xlnm._FilterDatabase" localSheetId="1" hidden="1">'1.TP ĐBP '!$A$7:$WUJ$219</definedName>
    <definedName name="_xlnm.Print_Titles" localSheetId="1">'1.TP ĐBP '!$5:$6</definedName>
    <definedName name="_xlnm.Print_Titles" localSheetId="2">'2. Điện Biên Đông'!$4:$5</definedName>
    <definedName name="_xlnm.Print_Titles" localSheetId="3">'3. Mường Ảng'!$3:$4</definedName>
    <definedName name="_xlnm.Print_Titles" localSheetId="4">'4.Tuần Giáo'!$3:$5</definedName>
    <definedName name="_xlnm.Print_Titles" localSheetId="5">'5.Mường Chà'!$3:$4</definedName>
    <definedName name="_xlnm.Print_Titles" localSheetId="6">'6.Tủa Chùa'!$3:$5</definedName>
    <definedName name="_xlnm.Print_Titles" localSheetId="7">'7. Mường Lay'!$3:$4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9" i="25" l="1"/>
  <c r="G218" i="25"/>
  <c r="G217" i="25"/>
  <c r="G216" i="25"/>
  <c r="G215" i="25"/>
  <c r="I213" i="25"/>
  <c r="H213" i="25"/>
  <c r="G213" i="25"/>
  <c r="H212" i="25"/>
  <c r="G212" i="25"/>
  <c r="I211" i="25"/>
  <c r="H211" i="25"/>
  <c r="G211" i="25"/>
  <c r="I210" i="25"/>
  <c r="H210" i="25"/>
  <c r="G210" i="25"/>
  <c r="I209" i="25"/>
  <c r="H209" i="25"/>
  <c r="G209" i="25"/>
  <c r="I208" i="25"/>
  <c r="H208" i="25"/>
  <c r="G208" i="25"/>
  <c r="I207" i="25"/>
  <c r="H207" i="25"/>
  <c r="G207" i="25"/>
  <c r="I206" i="25"/>
  <c r="H206" i="25"/>
  <c r="G206" i="25"/>
  <c r="I205" i="25"/>
  <c r="H205" i="25"/>
  <c r="G205" i="25"/>
  <c r="I204" i="25"/>
  <c r="H204" i="25"/>
  <c r="G204" i="25"/>
  <c r="I203" i="25"/>
  <c r="H203" i="25"/>
  <c r="G203" i="25"/>
  <c r="I202" i="25"/>
  <c r="H202" i="25"/>
  <c r="G202" i="25"/>
  <c r="I201" i="25"/>
  <c r="H201" i="25"/>
  <c r="G201" i="25"/>
  <c r="I200" i="25"/>
  <c r="H200" i="25"/>
  <c r="G200" i="25"/>
  <c r="I199" i="25"/>
  <c r="H199" i="25"/>
  <c r="G199" i="25"/>
  <c r="I197" i="25"/>
  <c r="H197" i="25"/>
  <c r="G197" i="25"/>
  <c r="I196" i="25"/>
  <c r="H196" i="25"/>
  <c r="G196" i="25"/>
  <c r="I195" i="25"/>
  <c r="H195" i="25"/>
  <c r="G195" i="25"/>
  <c r="I194" i="25"/>
  <c r="H194" i="25"/>
  <c r="G194" i="25"/>
  <c r="I193" i="25"/>
  <c r="H193" i="25"/>
  <c r="G193" i="25"/>
  <c r="I192" i="25"/>
  <c r="H192" i="25"/>
  <c r="G192" i="25"/>
  <c r="I191" i="25"/>
  <c r="H191" i="25"/>
  <c r="G191" i="25"/>
  <c r="I190" i="25"/>
  <c r="H190" i="25"/>
  <c r="G190" i="25"/>
  <c r="I189" i="25"/>
  <c r="H189" i="25"/>
  <c r="G189" i="25"/>
  <c r="I188" i="25"/>
  <c r="H188" i="25"/>
  <c r="G188" i="25"/>
  <c r="I187" i="25"/>
  <c r="H187" i="25"/>
  <c r="G187" i="25"/>
  <c r="I186" i="25"/>
  <c r="H186" i="25"/>
  <c r="G186" i="25"/>
  <c r="I185" i="25"/>
  <c r="H185" i="25"/>
  <c r="G185" i="25"/>
  <c r="H184" i="25"/>
  <c r="G184" i="25"/>
  <c r="I182" i="25"/>
  <c r="H182" i="25"/>
  <c r="G182" i="25"/>
  <c r="I181" i="25"/>
  <c r="H181" i="25"/>
  <c r="G181" i="25"/>
  <c r="I179" i="25"/>
  <c r="H179" i="25"/>
  <c r="G179" i="25"/>
  <c r="I178" i="25"/>
  <c r="H178" i="25"/>
  <c r="G178" i="25"/>
  <c r="I177" i="25"/>
  <c r="H177" i="25"/>
  <c r="G177" i="25"/>
  <c r="I176" i="25"/>
  <c r="H176" i="25"/>
  <c r="G176" i="25"/>
  <c r="I175" i="25"/>
  <c r="H175" i="25"/>
  <c r="G175" i="25"/>
  <c r="I174" i="25"/>
  <c r="H174" i="25"/>
  <c r="G174" i="25"/>
  <c r="I173" i="25"/>
  <c r="H173" i="25"/>
  <c r="G173" i="25"/>
  <c r="I172" i="25"/>
  <c r="H172" i="25"/>
  <c r="G172" i="25"/>
  <c r="I171" i="25"/>
  <c r="H171" i="25"/>
  <c r="G171" i="25"/>
  <c r="I170" i="25"/>
  <c r="H170" i="25"/>
  <c r="G170" i="25"/>
  <c r="I169" i="25"/>
  <c r="H169" i="25"/>
  <c r="G169" i="25"/>
  <c r="I168" i="25"/>
  <c r="H168" i="25"/>
  <c r="G168" i="25"/>
  <c r="I167" i="25"/>
  <c r="H167" i="25"/>
  <c r="G167" i="25"/>
  <c r="I166" i="25"/>
  <c r="H166" i="25"/>
  <c r="G166" i="25"/>
  <c r="I165" i="25"/>
  <c r="H165" i="25"/>
  <c r="G165" i="25"/>
  <c r="I164" i="25"/>
  <c r="H164" i="25"/>
  <c r="G164" i="25"/>
  <c r="I163" i="25"/>
  <c r="H163" i="25"/>
  <c r="G163" i="25"/>
  <c r="I162" i="25"/>
  <c r="H162" i="25"/>
  <c r="G162" i="25"/>
  <c r="I161" i="25"/>
  <c r="H161" i="25"/>
  <c r="G161" i="25"/>
  <c r="I160" i="25"/>
  <c r="H160" i="25"/>
  <c r="G160" i="25"/>
  <c r="I159" i="25"/>
  <c r="H159" i="25"/>
  <c r="G159" i="25"/>
  <c r="I158" i="25"/>
  <c r="H158" i="25"/>
  <c r="G158" i="25"/>
  <c r="I157" i="25"/>
  <c r="H157" i="25"/>
  <c r="G157" i="25"/>
  <c r="I156" i="25"/>
  <c r="H156" i="25"/>
  <c r="G156" i="25"/>
  <c r="I155" i="25"/>
  <c r="H155" i="25"/>
  <c r="G155" i="25"/>
  <c r="I154" i="25"/>
  <c r="H154" i="25"/>
  <c r="G154" i="25"/>
  <c r="I153" i="25"/>
  <c r="H153" i="25"/>
  <c r="G153" i="25"/>
  <c r="I152" i="25"/>
  <c r="H152" i="25"/>
  <c r="G152" i="25"/>
  <c r="I151" i="25"/>
  <c r="H151" i="25"/>
  <c r="G151" i="25"/>
  <c r="I150" i="25"/>
  <c r="H150" i="25"/>
  <c r="G150" i="25"/>
  <c r="I149" i="25"/>
  <c r="H149" i="25"/>
  <c r="G149" i="25"/>
  <c r="I148" i="25"/>
  <c r="H148" i="25"/>
  <c r="G148" i="25"/>
  <c r="I147" i="25"/>
  <c r="H147" i="25"/>
  <c r="G147" i="25"/>
  <c r="I146" i="25"/>
  <c r="H146" i="25"/>
  <c r="G146" i="25"/>
  <c r="I145" i="25"/>
  <c r="H145" i="25"/>
  <c r="G145" i="25"/>
  <c r="I144" i="25"/>
  <c r="H144" i="25"/>
  <c r="G144" i="25"/>
  <c r="I142" i="25"/>
  <c r="H142" i="25"/>
  <c r="G142" i="25"/>
  <c r="I141" i="25"/>
  <c r="H141" i="25"/>
  <c r="G141" i="25"/>
  <c r="I140" i="25"/>
  <c r="H140" i="25"/>
  <c r="G140" i="25"/>
  <c r="I139" i="25"/>
  <c r="H139" i="25"/>
  <c r="G139" i="25"/>
  <c r="I138" i="25"/>
  <c r="H138" i="25"/>
  <c r="G138" i="25"/>
  <c r="G136" i="25"/>
  <c r="G135" i="25"/>
  <c r="I134" i="25"/>
  <c r="H134" i="25"/>
  <c r="G134" i="25"/>
  <c r="I133" i="25"/>
  <c r="H133" i="25"/>
  <c r="G133" i="25"/>
  <c r="G131" i="25"/>
  <c r="I130" i="25"/>
  <c r="H130" i="25"/>
  <c r="G130" i="25"/>
  <c r="I128" i="25"/>
  <c r="H128" i="25"/>
  <c r="G128" i="25"/>
  <c r="I127" i="25"/>
  <c r="H127" i="25"/>
  <c r="G127" i="25"/>
  <c r="H125" i="25"/>
  <c r="G125" i="25"/>
  <c r="H124" i="25"/>
  <c r="G124" i="25"/>
  <c r="H123" i="25"/>
  <c r="G123" i="25"/>
  <c r="H122" i="25"/>
  <c r="G122" i="25"/>
  <c r="I120" i="25"/>
  <c r="H120" i="25"/>
  <c r="G120" i="25"/>
  <c r="H119" i="25"/>
  <c r="G119" i="25"/>
  <c r="I116" i="25"/>
  <c r="H116" i="25"/>
  <c r="G116" i="25"/>
  <c r="I115" i="25"/>
  <c r="H115" i="25"/>
  <c r="G115" i="25"/>
  <c r="G113" i="25"/>
  <c r="I112" i="25"/>
  <c r="H112" i="25"/>
  <c r="G112" i="25"/>
  <c r="H111" i="25"/>
  <c r="G111" i="25"/>
  <c r="G109" i="25"/>
  <c r="I108" i="25"/>
  <c r="H108" i="25"/>
  <c r="G108" i="25"/>
  <c r="I107" i="25"/>
  <c r="H107" i="25"/>
  <c r="G107" i="25"/>
  <c r="H106" i="25"/>
  <c r="G106" i="25"/>
  <c r="G104" i="25"/>
  <c r="G103" i="25"/>
  <c r="G102" i="25"/>
  <c r="G101" i="25"/>
  <c r="G100" i="25"/>
  <c r="G99" i="25"/>
  <c r="G98" i="25"/>
  <c r="G97" i="25"/>
  <c r="G96" i="25"/>
  <c r="G94" i="25"/>
  <c r="H93" i="25"/>
  <c r="G93" i="25"/>
  <c r="I92" i="25"/>
  <c r="H92" i="25"/>
  <c r="G92" i="25"/>
  <c r="I91" i="25"/>
  <c r="H91" i="25"/>
  <c r="G91" i="25"/>
  <c r="I90" i="25"/>
  <c r="H90" i="25"/>
  <c r="G90" i="25"/>
  <c r="I89" i="25"/>
  <c r="H89" i="25"/>
  <c r="G89" i="25"/>
  <c r="I87" i="25"/>
  <c r="H87" i="25"/>
  <c r="G87" i="25"/>
  <c r="I86" i="25"/>
  <c r="H86" i="25"/>
  <c r="G86" i="25"/>
  <c r="I84" i="25"/>
  <c r="H84" i="25"/>
  <c r="G84" i="25"/>
  <c r="G83" i="25"/>
  <c r="I82" i="25"/>
  <c r="H82" i="25"/>
  <c r="G82" i="25"/>
  <c r="H81" i="25"/>
  <c r="G81" i="25"/>
  <c r="G79" i="25"/>
  <c r="I78" i="25"/>
  <c r="H78" i="25"/>
  <c r="G78" i="25"/>
  <c r="H77" i="25"/>
  <c r="G77" i="25"/>
  <c r="H76" i="25"/>
  <c r="G76" i="25"/>
  <c r="I74" i="25"/>
  <c r="H74" i="25"/>
  <c r="G74" i="25"/>
  <c r="I73" i="25"/>
  <c r="H73" i="25"/>
  <c r="G73" i="25"/>
  <c r="I72" i="25"/>
  <c r="H72" i="25"/>
  <c r="G72" i="25"/>
  <c r="I70" i="25"/>
  <c r="H70" i="25"/>
  <c r="G70" i="25"/>
  <c r="I69" i="25"/>
  <c r="H69" i="25"/>
  <c r="G69" i="25"/>
  <c r="G68" i="25"/>
  <c r="G67" i="25"/>
  <c r="I65" i="25"/>
  <c r="H65" i="25"/>
  <c r="G65" i="25"/>
  <c r="I64" i="25"/>
  <c r="H64" i="25"/>
  <c r="G64" i="25"/>
  <c r="I63" i="25"/>
  <c r="H63" i="25"/>
  <c r="G63" i="25"/>
  <c r="I62" i="25"/>
  <c r="H62" i="25"/>
  <c r="G62" i="25"/>
  <c r="I61" i="25"/>
  <c r="H61" i="25"/>
  <c r="G61" i="25"/>
  <c r="I59" i="25"/>
  <c r="H59" i="25"/>
  <c r="G59" i="25"/>
  <c r="I58" i="25"/>
  <c r="H58" i="25"/>
  <c r="G58" i="25"/>
  <c r="H56" i="25"/>
  <c r="G56" i="25"/>
  <c r="H55" i="25"/>
  <c r="G55" i="25"/>
  <c r="H54" i="25"/>
  <c r="G54" i="25"/>
  <c r="H53" i="25"/>
  <c r="G53" i="25"/>
  <c r="H52" i="25"/>
  <c r="G52" i="25"/>
  <c r="H51" i="25"/>
  <c r="G51" i="25"/>
  <c r="H50" i="25"/>
  <c r="G50" i="25"/>
  <c r="I49" i="25"/>
  <c r="H49" i="25"/>
  <c r="G49" i="25"/>
  <c r="H48" i="25"/>
  <c r="G48" i="25"/>
  <c r="H47" i="25"/>
  <c r="G47" i="25"/>
  <c r="H46" i="25"/>
  <c r="G46" i="25"/>
  <c r="H44" i="25"/>
  <c r="G44" i="25"/>
  <c r="H43" i="25"/>
  <c r="G43" i="25"/>
  <c r="I42" i="25"/>
  <c r="H42" i="25"/>
  <c r="G42" i="25"/>
  <c r="I41" i="25"/>
  <c r="H41" i="25"/>
  <c r="G41" i="25"/>
  <c r="I40" i="25"/>
  <c r="H40" i="25"/>
  <c r="G40" i="25"/>
  <c r="H39" i="25"/>
  <c r="G39" i="25"/>
  <c r="H38" i="25"/>
  <c r="G38" i="25"/>
  <c r="H36" i="25"/>
  <c r="G36" i="25"/>
  <c r="H35" i="25"/>
  <c r="G35" i="25"/>
  <c r="I34" i="25"/>
  <c r="H34" i="25"/>
  <c r="G34" i="25"/>
  <c r="I32" i="25"/>
  <c r="H32" i="25"/>
  <c r="G32" i="25"/>
  <c r="G31" i="25"/>
  <c r="H29" i="25"/>
  <c r="G29" i="25"/>
  <c r="H28" i="25"/>
  <c r="G28" i="25"/>
  <c r="H26" i="25"/>
  <c r="G26" i="25"/>
  <c r="H24" i="25"/>
  <c r="G24" i="25"/>
  <c r="H22" i="25"/>
  <c r="G22" i="25"/>
  <c r="H21" i="25"/>
  <c r="G21" i="25"/>
  <c r="H19" i="25"/>
  <c r="G19" i="25"/>
  <c r="H18" i="25"/>
  <c r="G18" i="25"/>
  <c r="H16" i="25"/>
  <c r="G16" i="25"/>
  <c r="H15" i="25"/>
  <c r="G15" i="25"/>
  <c r="H14" i="25"/>
  <c r="G14" i="25"/>
  <c r="H13" i="25"/>
  <c r="G13" i="25"/>
  <c r="H12" i="25"/>
  <c r="G12" i="25"/>
  <c r="H11" i="25"/>
  <c r="G11" i="25"/>
  <c r="H10" i="25"/>
  <c r="G10" i="25"/>
  <c r="H9" i="25"/>
  <c r="G9" i="25"/>
  <c r="H8" i="25"/>
  <c r="G8" i="25"/>
  <c r="P44" i="24"/>
  <c r="N44" i="24"/>
  <c r="L44" i="24"/>
  <c r="J44" i="24"/>
  <c r="D44" i="24"/>
  <c r="P43" i="24"/>
  <c r="N43" i="24"/>
  <c r="L43" i="24"/>
  <c r="J43" i="24"/>
  <c r="P42" i="24"/>
  <c r="N42" i="24"/>
  <c r="L42" i="24"/>
  <c r="J42" i="24"/>
  <c r="P41" i="24"/>
  <c r="N41" i="24"/>
  <c r="L41" i="24"/>
  <c r="J41" i="24"/>
  <c r="P40" i="24"/>
  <c r="N40" i="24"/>
  <c r="L40" i="24"/>
  <c r="J40" i="24"/>
  <c r="E39" i="24"/>
  <c r="P38" i="24"/>
  <c r="N38" i="24"/>
  <c r="L38" i="24"/>
  <c r="J38" i="24"/>
  <c r="P37" i="24"/>
  <c r="N37" i="24"/>
  <c r="L37" i="24"/>
  <c r="J37" i="24"/>
  <c r="P36" i="24"/>
  <c r="N36" i="24"/>
  <c r="L36" i="24"/>
  <c r="J36" i="24"/>
  <c r="E36" i="24"/>
  <c r="D36" i="24"/>
  <c r="P35" i="24"/>
  <c r="N35" i="24"/>
  <c r="L35" i="24"/>
  <c r="J35" i="24"/>
  <c r="P33" i="24"/>
  <c r="N33" i="24"/>
  <c r="L33" i="24"/>
  <c r="J33" i="24"/>
  <c r="P32" i="24"/>
  <c r="N32" i="24"/>
  <c r="L32" i="24"/>
  <c r="J32" i="24"/>
  <c r="P31" i="24"/>
  <c r="N31" i="24"/>
  <c r="L31" i="24"/>
  <c r="J31" i="24"/>
  <c r="D31" i="24"/>
  <c r="P30" i="24"/>
  <c r="N30" i="24"/>
  <c r="L30" i="24"/>
  <c r="J30" i="24"/>
  <c r="P29" i="24"/>
  <c r="N29" i="24"/>
  <c r="L29" i="24"/>
  <c r="J29" i="24"/>
  <c r="P28" i="24"/>
  <c r="N28" i="24"/>
  <c r="L28" i="24"/>
  <c r="J28" i="24"/>
  <c r="P27" i="24"/>
  <c r="N27" i="24"/>
  <c r="L27" i="24"/>
  <c r="J27" i="24"/>
  <c r="P26" i="24"/>
  <c r="N26" i="24"/>
  <c r="L26" i="24"/>
  <c r="J26" i="24"/>
  <c r="P25" i="24"/>
  <c r="N25" i="24"/>
  <c r="L25" i="24"/>
  <c r="J25" i="24"/>
  <c r="P24" i="24"/>
  <c r="N24" i="24"/>
  <c r="L24" i="24"/>
  <c r="J24" i="24"/>
  <c r="P23" i="24"/>
  <c r="N23" i="24"/>
  <c r="L23" i="24"/>
  <c r="J23" i="24"/>
  <c r="P22" i="24"/>
  <c r="N22" i="24"/>
  <c r="L22" i="24"/>
  <c r="J22" i="24"/>
  <c r="P21" i="24"/>
  <c r="N21" i="24"/>
  <c r="L21" i="24"/>
  <c r="J21" i="24"/>
  <c r="P20" i="24"/>
  <c r="N20" i="24"/>
  <c r="L20" i="24"/>
  <c r="J20" i="24"/>
  <c r="P19" i="24"/>
  <c r="N19" i="24"/>
  <c r="L19" i="24"/>
  <c r="J19" i="24"/>
  <c r="P17" i="24"/>
  <c r="N17" i="24"/>
  <c r="L17" i="24"/>
  <c r="J17" i="24"/>
  <c r="F17" i="24"/>
  <c r="E17" i="24"/>
  <c r="D17" i="24"/>
  <c r="P16" i="24"/>
  <c r="N16" i="24"/>
  <c r="L16" i="24"/>
  <c r="J16" i="24"/>
  <c r="F16" i="24"/>
  <c r="D16" i="24"/>
  <c r="P15" i="24"/>
  <c r="N15" i="24"/>
  <c r="L15" i="24"/>
  <c r="J15" i="24"/>
  <c r="P13" i="24"/>
  <c r="N13" i="24"/>
  <c r="L13" i="24"/>
  <c r="J13" i="24"/>
  <c r="P12" i="24"/>
  <c r="N12" i="24"/>
  <c r="L12" i="24"/>
  <c r="J12" i="24"/>
  <c r="P11" i="24"/>
  <c r="N11" i="24"/>
  <c r="L11" i="24"/>
  <c r="J11" i="24"/>
  <c r="P10" i="24"/>
  <c r="N10" i="24"/>
  <c r="L10" i="24"/>
  <c r="J10" i="24"/>
  <c r="P9" i="24"/>
  <c r="N9" i="24"/>
  <c r="L9" i="24"/>
  <c r="J9" i="24"/>
  <c r="P8" i="24"/>
  <c r="N8" i="24"/>
  <c r="L8" i="24"/>
  <c r="J8" i="24"/>
  <c r="P7" i="24"/>
  <c r="N7" i="24"/>
  <c r="L7" i="24"/>
  <c r="J7" i="24"/>
  <c r="N71" i="23" l="1"/>
  <c r="L71" i="23"/>
  <c r="O71" i="23" s="1"/>
  <c r="O70" i="23"/>
  <c r="N70" i="23"/>
  <c r="O69" i="23"/>
  <c r="N69" i="23"/>
  <c r="K68" i="23"/>
  <c r="F68" i="23"/>
  <c r="K67" i="23"/>
  <c r="Y67" i="23" s="1"/>
  <c r="F67" i="23"/>
  <c r="K66" i="23"/>
  <c r="N66" i="23" s="1"/>
  <c r="F66" i="23"/>
  <c r="K65" i="23"/>
  <c r="Y65" i="23" s="1"/>
  <c r="F65" i="23"/>
  <c r="M64" i="23"/>
  <c r="P64" i="23" s="1"/>
  <c r="L64" i="23"/>
  <c r="O64" i="23" s="1"/>
  <c r="R64" i="23" s="1"/>
  <c r="K64" i="23"/>
  <c r="Y64" i="23" s="1"/>
  <c r="H64" i="23"/>
  <c r="G64" i="23"/>
  <c r="F64" i="23"/>
  <c r="Y63" i="23"/>
  <c r="Y62" i="23"/>
  <c r="Y57" i="23"/>
  <c r="M56" i="23"/>
  <c r="P56" i="23" s="1"/>
  <c r="L56" i="23"/>
  <c r="O56" i="23" s="1"/>
  <c r="K56" i="23"/>
  <c r="Y56" i="23" s="1"/>
  <c r="H56" i="23"/>
  <c r="G56" i="23"/>
  <c r="F56" i="23"/>
  <c r="P55" i="23"/>
  <c r="M55" i="23"/>
  <c r="L55" i="23"/>
  <c r="O55" i="23" s="1"/>
  <c r="K55" i="23"/>
  <c r="N55" i="23" s="1"/>
  <c r="H55" i="23"/>
  <c r="G55" i="23"/>
  <c r="F55" i="23"/>
  <c r="M54" i="23"/>
  <c r="P54" i="23" s="1"/>
  <c r="S54" i="23" s="1"/>
  <c r="L54" i="23"/>
  <c r="O54" i="23" s="1"/>
  <c r="R54" i="23" s="1"/>
  <c r="K54" i="23"/>
  <c r="N54" i="23" s="1"/>
  <c r="H54" i="23"/>
  <c r="G54" i="23"/>
  <c r="F54" i="23"/>
  <c r="M53" i="23"/>
  <c r="P53" i="23" s="1"/>
  <c r="L53" i="23"/>
  <c r="O53" i="23" s="1"/>
  <c r="K53" i="23"/>
  <c r="Y53" i="23" s="1"/>
  <c r="H53" i="23"/>
  <c r="G53" i="23"/>
  <c r="F53" i="23"/>
  <c r="N52" i="23"/>
  <c r="M52" i="23"/>
  <c r="P52" i="23" s="1"/>
  <c r="L52" i="23"/>
  <c r="O52" i="23" s="1"/>
  <c r="K52" i="23"/>
  <c r="Y52" i="23" s="1"/>
  <c r="H52" i="23"/>
  <c r="G52" i="23"/>
  <c r="F52" i="23"/>
  <c r="M51" i="23"/>
  <c r="P51" i="23" s="1"/>
  <c r="L51" i="23"/>
  <c r="O51" i="23" s="1"/>
  <c r="R51" i="23" s="1"/>
  <c r="K51" i="23"/>
  <c r="N51" i="23" s="1"/>
  <c r="H51" i="23"/>
  <c r="G51" i="23"/>
  <c r="F51" i="23"/>
  <c r="N50" i="23"/>
  <c r="M50" i="23"/>
  <c r="P50" i="23" s="1"/>
  <c r="L50" i="23"/>
  <c r="O50" i="23" s="1"/>
  <c r="K50" i="23"/>
  <c r="Y50" i="23" s="1"/>
  <c r="H50" i="23"/>
  <c r="G50" i="23"/>
  <c r="F50" i="23"/>
  <c r="M49" i="23"/>
  <c r="P49" i="23" s="1"/>
  <c r="L49" i="23"/>
  <c r="O49" i="23" s="1"/>
  <c r="K49" i="23"/>
  <c r="Y49" i="23" s="1"/>
  <c r="H49" i="23"/>
  <c r="G49" i="23"/>
  <c r="F49" i="23"/>
  <c r="V48" i="23"/>
  <c r="U48" i="23"/>
  <c r="N48" i="23"/>
  <c r="M48" i="23"/>
  <c r="P48" i="23" s="1"/>
  <c r="L48" i="23"/>
  <c r="O48" i="23" s="1"/>
  <c r="K48" i="23"/>
  <c r="Y48" i="23" s="1"/>
  <c r="H48" i="23"/>
  <c r="G48" i="23"/>
  <c r="F48" i="23"/>
  <c r="M47" i="23"/>
  <c r="P47" i="23" s="1"/>
  <c r="L47" i="23"/>
  <c r="O47" i="23" s="1"/>
  <c r="K47" i="23"/>
  <c r="Y47" i="23" s="1"/>
  <c r="H47" i="23"/>
  <c r="G47" i="23"/>
  <c r="F47" i="23"/>
  <c r="M45" i="23"/>
  <c r="P45" i="23" s="1"/>
  <c r="S45" i="23" s="1"/>
  <c r="L45" i="23"/>
  <c r="O45" i="23" s="1"/>
  <c r="K45" i="23"/>
  <c r="N45" i="23" s="1"/>
  <c r="H45" i="23"/>
  <c r="G45" i="23"/>
  <c r="F45" i="23"/>
  <c r="M44" i="23"/>
  <c r="P44" i="23" s="1"/>
  <c r="S44" i="23" s="1"/>
  <c r="L44" i="23"/>
  <c r="O44" i="23" s="1"/>
  <c r="K44" i="23"/>
  <c r="N44" i="23" s="1"/>
  <c r="H44" i="23"/>
  <c r="G44" i="23"/>
  <c r="F44" i="23"/>
  <c r="M43" i="23"/>
  <c r="P43" i="23" s="1"/>
  <c r="S43" i="23" s="1"/>
  <c r="L43" i="23"/>
  <c r="O43" i="23" s="1"/>
  <c r="K43" i="23"/>
  <c r="Y43" i="23" s="1"/>
  <c r="H43" i="23"/>
  <c r="G43" i="23"/>
  <c r="F43" i="23"/>
  <c r="M42" i="23"/>
  <c r="P42" i="23" s="1"/>
  <c r="L42" i="23"/>
  <c r="O42" i="23" s="1"/>
  <c r="K42" i="23"/>
  <c r="Y42" i="23" s="1"/>
  <c r="H42" i="23"/>
  <c r="G42" i="23"/>
  <c r="F42" i="23"/>
  <c r="O41" i="23"/>
  <c r="M41" i="23"/>
  <c r="P41" i="23" s="1"/>
  <c r="L41" i="23"/>
  <c r="K41" i="23"/>
  <c r="N41" i="23" s="1"/>
  <c r="H41" i="23"/>
  <c r="G41" i="23"/>
  <c r="F41" i="23"/>
  <c r="M39" i="23"/>
  <c r="P39" i="23" s="1"/>
  <c r="L39" i="23"/>
  <c r="O39" i="23" s="1"/>
  <c r="K39" i="23"/>
  <c r="N39" i="23" s="1"/>
  <c r="H39" i="23"/>
  <c r="G39" i="23"/>
  <c r="F39" i="23"/>
  <c r="Y38" i="23"/>
  <c r="W38" i="23"/>
  <c r="V38" i="23"/>
  <c r="U38" i="23"/>
  <c r="N38" i="23"/>
  <c r="M38" i="23"/>
  <c r="P38" i="23" s="1"/>
  <c r="L38" i="23"/>
  <c r="O38" i="23" s="1"/>
  <c r="H38" i="23"/>
  <c r="G38" i="23"/>
  <c r="F38" i="23"/>
  <c r="V37" i="23"/>
  <c r="U37" i="23"/>
  <c r="M37" i="23"/>
  <c r="P37" i="23" s="1"/>
  <c r="S37" i="23" s="1"/>
  <c r="L37" i="23"/>
  <c r="O37" i="23" s="1"/>
  <c r="K37" i="23"/>
  <c r="H37" i="23"/>
  <c r="G37" i="23"/>
  <c r="F37" i="23"/>
  <c r="M36" i="23"/>
  <c r="P36" i="23" s="1"/>
  <c r="L36" i="23"/>
  <c r="O36" i="23" s="1"/>
  <c r="K36" i="23"/>
  <c r="Y36" i="23" s="1"/>
  <c r="H36" i="23"/>
  <c r="G36" i="23"/>
  <c r="F36" i="23"/>
  <c r="M35" i="23"/>
  <c r="P35" i="23" s="1"/>
  <c r="L35" i="23"/>
  <c r="O35" i="23" s="1"/>
  <c r="K35" i="23"/>
  <c r="Y35" i="23" s="1"/>
  <c r="H35" i="23"/>
  <c r="G35" i="23"/>
  <c r="F35" i="23"/>
  <c r="Y34" i="23"/>
  <c r="Y33" i="23"/>
  <c r="Y32" i="23"/>
  <c r="V32" i="23"/>
  <c r="U32" i="23"/>
  <c r="M31" i="23"/>
  <c r="P31" i="23" s="1"/>
  <c r="L31" i="23"/>
  <c r="O31" i="23" s="1"/>
  <c r="K31" i="23"/>
  <c r="N31" i="23" s="1"/>
  <c r="H31" i="23"/>
  <c r="G31" i="23"/>
  <c r="F31" i="23"/>
  <c r="Y30" i="23"/>
  <c r="P30" i="23"/>
  <c r="O30" i="23"/>
  <c r="N30" i="23"/>
  <c r="H30" i="23"/>
  <c r="G30" i="23"/>
  <c r="F30" i="23"/>
  <c r="O29" i="23"/>
  <c r="M29" i="23"/>
  <c r="P29" i="23" s="1"/>
  <c r="L29" i="23"/>
  <c r="K29" i="23"/>
  <c r="Y29" i="23" s="1"/>
  <c r="H29" i="23"/>
  <c r="G29" i="23"/>
  <c r="F29" i="23"/>
  <c r="M28" i="23"/>
  <c r="P28" i="23" s="1"/>
  <c r="L28" i="23"/>
  <c r="O28" i="23" s="1"/>
  <c r="K28" i="23"/>
  <c r="N28" i="23" s="1"/>
  <c r="H28" i="23"/>
  <c r="G28" i="23"/>
  <c r="F28" i="23"/>
  <c r="M27" i="23"/>
  <c r="P27" i="23" s="1"/>
  <c r="L27" i="23"/>
  <c r="O27" i="23" s="1"/>
  <c r="K27" i="23"/>
  <c r="Y27" i="23" s="1"/>
  <c r="H27" i="23"/>
  <c r="G27" i="23"/>
  <c r="F27" i="23"/>
  <c r="M24" i="23"/>
  <c r="P24" i="23" s="1"/>
  <c r="L24" i="23"/>
  <c r="O24" i="23" s="1"/>
  <c r="K24" i="23"/>
  <c r="Y24" i="23" s="1"/>
  <c r="H24" i="23"/>
  <c r="G24" i="23"/>
  <c r="F24" i="23"/>
  <c r="M23" i="23"/>
  <c r="P23" i="23" s="1"/>
  <c r="L23" i="23"/>
  <c r="O23" i="23" s="1"/>
  <c r="K23" i="23"/>
  <c r="Y23" i="23" s="1"/>
  <c r="H23" i="23"/>
  <c r="G23" i="23"/>
  <c r="F23" i="23"/>
  <c r="M22" i="23"/>
  <c r="P22" i="23" s="1"/>
  <c r="L22" i="23"/>
  <c r="O22" i="23" s="1"/>
  <c r="K22" i="23"/>
  <c r="N22" i="23" s="1"/>
  <c r="H22" i="23"/>
  <c r="G22" i="23"/>
  <c r="F22" i="23"/>
  <c r="M20" i="23"/>
  <c r="P20" i="23" s="1"/>
  <c r="L20" i="23"/>
  <c r="O20" i="23" s="1"/>
  <c r="K20" i="23"/>
  <c r="Y20" i="23" s="1"/>
  <c r="H20" i="23"/>
  <c r="G20" i="23"/>
  <c r="F20" i="23"/>
  <c r="M19" i="23"/>
  <c r="P19" i="23" s="1"/>
  <c r="L19" i="23"/>
  <c r="O19" i="23" s="1"/>
  <c r="K19" i="23"/>
  <c r="Y19" i="23" s="1"/>
  <c r="H19" i="23"/>
  <c r="G19" i="23"/>
  <c r="F19" i="23"/>
  <c r="Y17" i="23"/>
  <c r="H17" i="23"/>
  <c r="G17" i="23"/>
  <c r="F17" i="23"/>
  <c r="M16" i="23"/>
  <c r="P16" i="23" s="1"/>
  <c r="L16" i="23"/>
  <c r="O16" i="23" s="1"/>
  <c r="K16" i="23"/>
  <c r="Y16" i="23" s="1"/>
  <c r="H16" i="23"/>
  <c r="G16" i="23"/>
  <c r="F16" i="23"/>
  <c r="M15" i="23"/>
  <c r="P15" i="23" s="1"/>
  <c r="L15" i="23"/>
  <c r="O15" i="23" s="1"/>
  <c r="R15" i="23" s="1"/>
  <c r="K15" i="23"/>
  <c r="N15" i="23" s="1"/>
  <c r="H15" i="23"/>
  <c r="G15" i="23"/>
  <c r="F15" i="23"/>
  <c r="M13" i="23"/>
  <c r="P13" i="23" s="1"/>
  <c r="L13" i="23"/>
  <c r="O13" i="23" s="1"/>
  <c r="K13" i="23"/>
  <c r="Y13" i="23" s="1"/>
  <c r="H13" i="23"/>
  <c r="G13" i="23"/>
  <c r="F13" i="23"/>
  <c r="Y12" i="23"/>
  <c r="V12" i="23"/>
  <c r="U12" i="23"/>
  <c r="T12" i="23"/>
  <c r="P12" i="23"/>
  <c r="O12" i="23"/>
  <c r="N12" i="23"/>
  <c r="H12" i="23"/>
  <c r="G12" i="23"/>
  <c r="F12" i="23"/>
  <c r="U10" i="23"/>
  <c r="T10" i="23"/>
  <c r="M10" i="23"/>
  <c r="P10" i="23" s="1"/>
  <c r="L10" i="23"/>
  <c r="O10" i="23" s="1"/>
  <c r="K10" i="23"/>
  <c r="Y10" i="23" s="1"/>
  <c r="H10" i="23"/>
  <c r="G10" i="23"/>
  <c r="F10" i="23"/>
  <c r="M9" i="23"/>
  <c r="P9" i="23" s="1"/>
  <c r="L9" i="23"/>
  <c r="O9" i="23" s="1"/>
  <c r="R9" i="23" s="1"/>
  <c r="K9" i="23"/>
  <c r="Y9" i="23" s="1"/>
  <c r="H9" i="23"/>
  <c r="G9" i="23"/>
  <c r="F9" i="23"/>
  <c r="M8" i="23"/>
  <c r="P8" i="23" s="1"/>
  <c r="L8" i="23"/>
  <c r="O8" i="23" s="1"/>
  <c r="R8" i="23" s="1"/>
  <c r="K8" i="23"/>
  <c r="N8" i="23" s="1"/>
  <c r="H8" i="23"/>
  <c r="G8" i="23"/>
  <c r="F8" i="23"/>
  <c r="R52" i="23" l="1"/>
  <c r="S55" i="23"/>
  <c r="N13" i="23"/>
  <c r="Y15" i="23"/>
  <c r="S19" i="23"/>
  <c r="S22" i="23"/>
  <c r="S24" i="23"/>
  <c r="S28" i="23"/>
  <c r="S31" i="23"/>
  <c r="Q48" i="23"/>
  <c r="Q55" i="23"/>
  <c r="Y8" i="23"/>
  <c r="S10" i="23"/>
  <c r="R16" i="23"/>
  <c r="S41" i="23"/>
  <c r="S51" i="23"/>
  <c r="R55" i="23"/>
  <c r="S38" i="23"/>
  <c r="S39" i="23"/>
  <c r="Y41" i="23"/>
  <c r="Y44" i="23"/>
  <c r="Q52" i="23"/>
  <c r="Q13" i="23"/>
  <c r="S8" i="23"/>
  <c r="Q12" i="23"/>
  <c r="S13" i="23"/>
  <c r="S15" i="23"/>
  <c r="R28" i="23"/>
  <c r="R30" i="23"/>
  <c r="R42" i="23"/>
  <c r="R44" i="23"/>
  <c r="N67" i="23"/>
  <c r="Q67" i="23" s="1"/>
  <c r="Y54" i="23"/>
  <c r="N20" i="23"/>
  <c r="R23" i="23"/>
  <c r="R29" i="23"/>
  <c r="Q30" i="23"/>
  <c r="R31" i="23"/>
  <c r="S35" i="23"/>
  <c r="R41" i="23"/>
  <c r="R47" i="23"/>
  <c r="N49" i="23"/>
  <c r="Q49" i="23" s="1"/>
  <c r="R10" i="23"/>
  <c r="R12" i="23"/>
  <c r="S20" i="23"/>
  <c r="R24" i="23"/>
  <c r="R35" i="23"/>
  <c r="R37" i="23"/>
  <c r="Q39" i="23"/>
  <c r="R39" i="23"/>
  <c r="Y39" i="23"/>
  <c r="Q41" i="23"/>
  <c r="S42" i="23"/>
  <c r="N43" i="23"/>
  <c r="Q43" i="23" s="1"/>
  <c r="R45" i="23"/>
  <c r="Y45" i="23"/>
  <c r="W48" i="23"/>
  <c r="Q51" i="23"/>
  <c r="R53" i="23"/>
  <c r="Y55" i="23"/>
  <c r="N65" i="23"/>
  <c r="Q65" i="23" s="1"/>
  <c r="S9" i="23"/>
  <c r="N10" i="23"/>
  <c r="Q10" i="23" s="1"/>
  <c r="R19" i="23"/>
  <c r="Q20" i="23"/>
  <c r="R20" i="23"/>
  <c r="S23" i="23"/>
  <c r="N24" i="23"/>
  <c r="Q24" i="23" s="1"/>
  <c r="S27" i="23"/>
  <c r="Q31" i="23"/>
  <c r="N35" i="23"/>
  <c r="Q35" i="23" s="1"/>
  <c r="S36" i="23"/>
  <c r="R38" i="23"/>
  <c r="Q50" i="23"/>
  <c r="N53" i="23"/>
  <c r="Q53" i="23" s="1"/>
  <c r="V10" i="23"/>
  <c r="R13" i="23"/>
  <c r="Q15" i="23"/>
  <c r="S16" i="23"/>
  <c r="N19" i="23"/>
  <c r="Q19" i="23" s="1"/>
  <c r="R22" i="23"/>
  <c r="Y22" i="23"/>
  <c r="N27" i="23"/>
  <c r="Q27" i="23" s="1"/>
  <c r="S29" i="23"/>
  <c r="N29" i="23"/>
  <c r="Q29" i="23" s="1"/>
  <c r="N36" i="23"/>
  <c r="Q36" i="23" s="1"/>
  <c r="Q38" i="23"/>
  <c r="R48" i="23"/>
  <c r="S48" i="23"/>
  <c r="R49" i="23"/>
  <c r="S50" i="23"/>
  <c r="S64" i="23"/>
  <c r="N64" i="23"/>
  <c r="Q64" i="23" s="1"/>
  <c r="R43" i="23"/>
  <c r="Q44" i="23"/>
  <c r="S47" i="23"/>
  <c r="S52" i="23"/>
  <c r="Q54" i="23"/>
  <c r="S56" i="23"/>
  <c r="R56" i="23"/>
  <c r="Y66" i="23"/>
  <c r="Y28" i="23"/>
  <c r="Q66" i="23"/>
  <c r="Y68" i="23"/>
  <c r="N68" i="23"/>
  <c r="Q68" i="23" s="1"/>
  <c r="Q8" i="23"/>
  <c r="S12" i="23"/>
  <c r="N16" i="23"/>
  <c r="Q16" i="23" s="1"/>
  <c r="Q22" i="23"/>
  <c r="R27" i="23"/>
  <c r="S30" i="23"/>
  <c r="Y31" i="23"/>
  <c r="R36" i="23"/>
  <c r="N42" i="23"/>
  <c r="Q42" i="23" s="1"/>
  <c r="Q45" i="23"/>
  <c r="S49" i="23"/>
  <c r="Y51" i="23"/>
  <c r="N56" i="23"/>
  <c r="Q56" i="23" s="1"/>
  <c r="T66" i="23"/>
  <c r="N9" i="23"/>
  <c r="Q9" i="23" s="1"/>
  <c r="N23" i="23"/>
  <c r="Q23" i="23" s="1"/>
  <c r="Q28" i="23"/>
  <c r="W37" i="23"/>
  <c r="N37" i="23"/>
  <c r="Q37" i="23" s="1"/>
  <c r="Y37" i="23"/>
  <c r="N47" i="23"/>
  <c r="Q47" i="23" s="1"/>
  <c r="R50" i="23"/>
  <c r="S53" i="23"/>
  <c r="J40" i="21" l="1"/>
  <c r="Q40" i="21" s="1"/>
  <c r="L38" i="21"/>
  <c r="S38" i="21" s="1"/>
  <c r="K38" i="21"/>
  <c r="R38" i="21" s="1"/>
  <c r="J38" i="21"/>
  <c r="Q38" i="21" s="1"/>
  <c r="J36" i="21"/>
  <c r="Q36" i="21" s="1"/>
  <c r="L34" i="21"/>
  <c r="S34" i="21" s="1"/>
  <c r="K34" i="21"/>
  <c r="R34" i="21" s="1"/>
  <c r="J34" i="21"/>
  <c r="Q34" i="21" s="1"/>
  <c r="L33" i="21"/>
  <c r="S33" i="21" s="1"/>
  <c r="K33" i="21"/>
  <c r="R33" i="21" s="1"/>
  <c r="J33" i="21"/>
  <c r="Q33" i="21" s="1"/>
  <c r="Q31" i="21"/>
  <c r="J30" i="21"/>
  <c r="Q30" i="21" s="1"/>
  <c r="J28" i="21"/>
  <c r="Q28" i="21" s="1"/>
  <c r="J26" i="21"/>
  <c r="Q26" i="21" s="1"/>
  <c r="K25" i="21"/>
  <c r="R25" i="21" s="1"/>
  <c r="J25" i="21"/>
  <c r="Q25" i="21" s="1"/>
  <c r="K24" i="21"/>
  <c r="R24" i="21" s="1"/>
  <c r="J24" i="21"/>
  <c r="Q24" i="21" s="1"/>
  <c r="K23" i="21"/>
  <c r="R23" i="21" s="1"/>
  <c r="J23" i="21"/>
  <c r="Q23" i="21" s="1"/>
  <c r="J22" i="21"/>
  <c r="Q22" i="21" s="1"/>
  <c r="R21" i="21"/>
  <c r="Q21" i="21"/>
  <c r="J19" i="21"/>
  <c r="Q19" i="21" s="1"/>
  <c r="J18" i="21"/>
  <c r="Q18" i="21" s="1"/>
  <c r="J17" i="21"/>
  <c r="Q17" i="21" s="1"/>
  <c r="L15" i="21"/>
  <c r="S15" i="21" s="1"/>
  <c r="K15" i="21"/>
  <c r="J15" i="21"/>
  <c r="Q15" i="21" s="1"/>
  <c r="L14" i="21"/>
  <c r="S14" i="21" s="1"/>
  <c r="K14" i="21"/>
  <c r="R14" i="21" s="1"/>
  <c r="J14" i="21"/>
  <c r="Q14" i="21" s="1"/>
  <c r="J13" i="21"/>
  <c r="M13" i="21" s="1"/>
  <c r="S12" i="21"/>
  <c r="R12" i="21"/>
  <c r="J12" i="21"/>
  <c r="Q12" i="21" s="1"/>
  <c r="J11" i="21"/>
  <c r="Q11" i="21" s="1"/>
  <c r="J10" i="21"/>
  <c r="Q10" i="21" s="1"/>
  <c r="J9" i="21"/>
  <c r="Q9" i="21" s="1"/>
  <c r="J8" i="21"/>
  <c r="Q8" i="21" s="1"/>
  <c r="S7" i="21"/>
  <c r="L7" i="21"/>
  <c r="K7" i="21"/>
  <c r="R7" i="21" s="1"/>
  <c r="J7" i="21"/>
  <c r="Q7" i="21" s="1"/>
  <c r="S6" i="21"/>
  <c r="L6" i="21"/>
  <c r="K6" i="21"/>
  <c r="R6" i="21" s="1"/>
  <c r="J6" i="21"/>
  <c r="Q6" i="21" s="1"/>
  <c r="M12" i="21" l="1"/>
  <c r="Q13" i="21"/>
  <c r="K13" i="21"/>
  <c r="R13" i="21" s="1"/>
  <c r="L13" i="21"/>
  <c r="S13" i="21" s="1"/>
  <c r="L87" i="12" l="1"/>
  <c r="J87" i="12"/>
  <c r="L86" i="12"/>
  <c r="J86" i="12"/>
  <c r="L85" i="12"/>
  <c r="J85" i="12"/>
  <c r="L84" i="12"/>
  <c r="J84" i="12"/>
  <c r="N83" i="12"/>
  <c r="L83" i="12"/>
  <c r="J83" i="12"/>
  <c r="L82" i="12"/>
  <c r="J82" i="12"/>
  <c r="N81" i="12"/>
  <c r="L81" i="12"/>
  <c r="J81" i="12"/>
  <c r="N80" i="12"/>
  <c r="L80" i="12"/>
  <c r="J80" i="12"/>
  <c r="N79" i="12"/>
  <c r="L79" i="12"/>
  <c r="J79" i="12"/>
  <c r="N78" i="12"/>
  <c r="L78" i="12"/>
  <c r="J78" i="12"/>
  <c r="N77" i="12"/>
  <c r="L77" i="12"/>
  <c r="J77" i="12"/>
  <c r="N76" i="12"/>
  <c r="L76" i="12"/>
  <c r="J76" i="12"/>
  <c r="N75" i="12"/>
  <c r="L75" i="12"/>
  <c r="J75" i="12"/>
  <c r="N74" i="12"/>
  <c r="L74" i="12"/>
  <c r="J74" i="12"/>
  <c r="L73" i="12"/>
  <c r="J73" i="12"/>
  <c r="L72" i="12"/>
  <c r="J72" i="12"/>
  <c r="L71" i="12"/>
  <c r="J71" i="12"/>
  <c r="L70" i="12"/>
  <c r="J70" i="12"/>
  <c r="N69" i="12"/>
  <c r="L69" i="12"/>
  <c r="J69" i="12"/>
  <c r="N68" i="12"/>
  <c r="L68" i="12"/>
  <c r="J68" i="12"/>
  <c r="N67" i="12"/>
  <c r="L67" i="12"/>
  <c r="J67" i="12"/>
  <c r="N66" i="12"/>
  <c r="L66" i="12"/>
  <c r="J66" i="12"/>
  <c r="N65" i="12"/>
  <c r="L65" i="12"/>
  <c r="J65" i="12"/>
  <c r="N64" i="12"/>
  <c r="L64" i="12"/>
  <c r="J64" i="12"/>
  <c r="N63" i="12"/>
  <c r="L63" i="12"/>
  <c r="J63" i="12"/>
  <c r="N62" i="12"/>
  <c r="L62" i="12"/>
  <c r="J62" i="12"/>
  <c r="N61" i="12"/>
  <c r="L61" i="12"/>
  <c r="J61" i="12"/>
  <c r="N60" i="12"/>
  <c r="L60" i="12"/>
  <c r="J60" i="12"/>
  <c r="N59" i="12"/>
  <c r="L59" i="12"/>
  <c r="J59" i="12"/>
  <c r="N58" i="12"/>
  <c r="L58" i="12"/>
  <c r="J58" i="12"/>
  <c r="N57" i="12"/>
  <c r="L57" i="12"/>
  <c r="J57" i="12"/>
  <c r="N56" i="12"/>
  <c r="L56" i="12"/>
  <c r="J56" i="12"/>
  <c r="P55" i="12"/>
  <c r="N55" i="12"/>
  <c r="L55" i="12"/>
  <c r="J55" i="12"/>
  <c r="N54" i="12"/>
  <c r="L54" i="12"/>
  <c r="J54" i="12"/>
  <c r="N53" i="12"/>
  <c r="L53" i="12"/>
  <c r="J53" i="12"/>
  <c r="P51" i="12"/>
  <c r="N51" i="12"/>
  <c r="L51" i="12"/>
  <c r="J51" i="12"/>
  <c r="F51" i="12"/>
  <c r="E51" i="12"/>
  <c r="D51" i="12"/>
  <c r="P50" i="12"/>
  <c r="N50" i="12"/>
  <c r="L50" i="12"/>
  <c r="J50" i="12"/>
  <c r="F50" i="12"/>
  <c r="E50" i="12"/>
  <c r="D50" i="12"/>
  <c r="N49" i="12"/>
  <c r="L49" i="12"/>
  <c r="J49" i="12"/>
  <c r="N48" i="12"/>
  <c r="L48" i="12"/>
  <c r="J48" i="12"/>
  <c r="N47" i="12"/>
  <c r="L47" i="12"/>
  <c r="J47" i="12"/>
  <c r="P46" i="12"/>
  <c r="N46" i="12"/>
  <c r="L46" i="12"/>
  <c r="J46" i="12"/>
  <c r="P45" i="12"/>
  <c r="N45" i="12"/>
  <c r="L45" i="12"/>
  <c r="J45" i="12"/>
  <c r="P44" i="12"/>
  <c r="N44" i="12"/>
  <c r="L44" i="12"/>
  <c r="J44" i="12"/>
  <c r="P43" i="12"/>
  <c r="N43" i="12"/>
  <c r="L43" i="12"/>
  <c r="J43" i="12"/>
  <c r="P42" i="12"/>
  <c r="N42" i="12"/>
  <c r="L42" i="12"/>
  <c r="J42" i="12"/>
  <c r="P41" i="12"/>
  <c r="N41" i="12"/>
  <c r="L41" i="12"/>
  <c r="J41" i="12"/>
  <c r="P40" i="12"/>
  <c r="N40" i="12"/>
  <c r="L40" i="12"/>
  <c r="J40" i="12"/>
  <c r="P39" i="12"/>
  <c r="N39" i="12"/>
  <c r="L39" i="12"/>
  <c r="J39" i="12"/>
  <c r="L38" i="12"/>
  <c r="N37" i="12"/>
  <c r="L37" i="12"/>
  <c r="J37" i="12"/>
  <c r="P36" i="12"/>
  <c r="N36" i="12"/>
  <c r="L36" i="12"/>
  <c r="J36" i="12"/>
  <c r="P35" i="12"/>
  <c r="N35" i="12"/>
  <c r="L35" i="12"/>
  <c r="J35" i="12"/>
  <c r="P34" i="12"/>
  <c r="N34" i="12"/>
  <c r="L34" i="12"/>
  <c r="J34" i="12"/>
  <c r="P33" i="12"/>
  <c r="N33" i="12"/>
  <c r="L33" i="12"/>
  <c r="J33" i="12"/>
  <c r="P32" i="12"/>
  <c r="N32" i="12"/>
  <c r="L32" i="12"/>
  <c r="J32" i="12"/>
  <c r="P31" i="12"/>
  <c r="N31" i="12"/>
  <c r="L31" i="12"/>
  <c r="J31" i="12"/>
  <c r="P30" i="12"/>
  <c r="N30" i="12"/>
  <c r="L30" i="12"/>
  <c r="J30" i="12"/>
  <c r="P29" i="12"/>
  <c r="N29" i="12"/>
  <c r="L29" i="12"/>
  <c r="J29" i="12"/>
  <c r="P27" i="12"/>
  <c r="N27" i="12"/>
  <c r="L27" i="12"/>
  <c r="J27" i="12"/>
  <c r="F27" i="12"/>
  <c r="E27" i="12"/>
  <c r="D27" i="12"/>
  <c r="P26" i="12"/>
  <c r="N26" i="12"/>
  <c r="L26" i="12"/>
  <c r="J26" i="12"/>
  <c r="F26" i="12"/>
  <c r="E26" i="12"/>
  <c r="D26" i="12"/>
  <c r="P25" i="12"/>
  <c r="N25" i="12"/>
  <c r="L25" i="12"/>
  <c r="J25" i="12"/>
  <c r="P24" i="12"/>
  <c r="N24" i="12"/>
  <c r="L24" i="12"/>
  <c r="J24" i="12"/>
  <c r="P23" i="12"/>
  <c r="N23" i="12"/>
  <c r="L23" i="12"/>
  <c r="J23" i="12"/>
  <c r="N22" i="12"/>
  <c r="L22" i="12"/>
  <c r="J22" i="12"/>
  <c r="L21" i="12"/>
  <c r="J21" i="12"/>
  <c r="N20" i="12"/>
  <c r="L20" i="12"/>
  <c r="J20" i="12"/>
  <c r="N19" i="12"/>
  <c r="L19" i="12"/>
  <c r="J19" i="12"/>
  <c r="P18" i="12"/>
  <c r="N18" i="12"/>
  <c r="L18" i="12"/>
  <c r="J18" i="12"/>
  <c r="P17" i="12"/>
  <c r="N17" i="12"/>
  <c r="L17" i="12"/>
  <c r="J17" i="12"/>
  <c r="N15" i="12"/>
  <c r="L15" i="12"/>
  <c r="J15" i="12"/>
  <c r="P14" i="12"/>
  <c r="N14" i="12"/>
  <c r="L14" i="12"/>
  <c r="J14" i="12"/>
  <c r="D14" i="12"/>
  <c r="P13" i="12"/>
  <c r="N13" i="12"/>
  <c r="L13" i="12"/>
  <c r="J13" i="12"/>
  <c r="D13" i="12"/>
  <c r="P12" i="12"/>
  <c r="N12" i="12"/>
  <c r="L12" i="12"/>
  <c r="J12" i="12"/>
  <c r="L11" i="12"/>
  <c r="J11" i="12"/>
  <c r="P10" i="12"/>
  <c r="N10" i="12"/>
  <c r="L10" i="12"/>
  <c r="J10" i="12"/>
  <c r="P9" i="12"/>
  <c r="N9" i="12"/>
  <c r="L9" i="12"/>
  <c r="J9" i="12"/>
  <c r="P8" i="12"/>
  <c r="N8" i="12"/>
  <c r="L8" i="12"/>
  <c r="J8" i="12"/>
  <c r="P7" i="12"/>
  <c r="N7" i="12"/>
  <c r="L7" i="12"/>
  <c r="J7" i="12"/>
  <c r="AG159" i="11" l="1"/>
  <c r="AM159" i="11" s="1"/>
  <c r="AF159" i="11"/>
  <c r="AL159" i="11" s="1"/>
  <c r="AE159" i="11"/>
  <c r="AK159" i="11" s="1"/>
  <c r="AD159" i="11"/>
  <c r="AJ159" i="11" s="1"/>
  <c r="AC159" i="11"/>
  <c r="AB159" i="11"/>
  <c r="AC158" i="11"/>
  <c r="AB158" i="11"/>
  <c r="AD157" i="11"/>
  <c r="AJ157" i="11" s="1"/>
  <c r="AD156" i="11"/>
  <c r="AJ156" i="11" s="1"/>
  <c r="AD155" i="11"/>
  <c r="AJ155" i="11" s="1"/>
  <c r="AD154" i="11"/>
  <c r="AJ154" i="11" s="1"/>
  <c r="AJ153" i="11"/>
  <c r="AD152" i="11"/>
  <c r="AJ152" i="11" s="1"/>
  <c r="AD151" i="11"/>
  <c r="AJ151" i="11" s="1"/>
  <c r="AD149" i="11"/>
  <c r="AJ149" i="11" s="1"/>
  <c r="AD148" i="11"/>
  <c r="AJ148" i="11" s="1"/>
  <c r="AD147" i="11"/>
  <c r="AJ147" i="11" s="1"/>
  <c r="AD146" i="11"/>
  <c r="AJ146" i="11" s="1"/>
  <c r="AC146" i="11"/>
  <c r="AI146" i="11" s="1"/>
  <c r="AD145" i="11"/>
  <c r="AJ145" i="11" s="1"/>
  <c r="AD144" i="11"/>
  <c r="AJ144" i="11" s="1"/>
  <c r="AD143" i="11"/>
  <c r="AJ143" i="11" s="1"/>
  <c r="AD142" i="11"/>
  <c r="AJ142" i="11" s="1"/>
  <c r="AD141" i="11"/>
  <c r="AJ141" i="11" s="1"/>
  <c r="AD140" i="11"/>
  <c r="AJ140" i="11" s="1"/>
  <c r="AD139" i="11"/>
  <c r="AJ139" i="11" s="1"/>
  <c r="AJ138" i="11"/>
  <c r="AD137" i="11"/>
  <c r="AJ137" i="11" s="1"/>
  <c r="AJ135" i="11"/>
  <c r="AD134" i="11"/>
  <c r="AJ134" i="11" s="1"/>
  <c r="AD133" i="11"/>
  <c r="AJ133" i="11" s="1"/>
  <c r="AD132" i="11"/>
  <c r="AJ132" i="11" s="1"/>
  <c r="AJ131" i="11"/>
  <c r="AD128" i="11"/>
  <c r="AJ128" i="11" s="1"/>
  <c r="AD127" i="11"/>
  <c r="AJ127" i="11" s="1"/>
  <c r="AD124" i="11"/>
  <c r="AJ124" i="11" s="1"/>
  <c r="AD123" i="11"/>
  <c r="AJ123" i="11" s="1"/>
  <c r="AD122" i="11"/>
  <c r="AJ122" i="11" s="1"/>
  <c r="AD121" i="11"/>
  <c r="AJ121" i="11" s="1"/>
  <c r="AD120" i="11"/>
  <c r="AJ120" i="11" s="1"/>
  <c r="AD119" i="11"/>
  <c r="AJ119" i="11" s="1"/>
  <c r="AD118" i="11"/>
  <c r="AJ118" i="11" s="1"/>
  <c r="AD117" i="11"/>
  <c r="AJ117" i="11" s="1"/>
  <c r="AD116" i="11"/>
  <c r="AJ116" i="11" s="1"/>
  <c r="AD113" i="11"/>
  <c r="AJ113" i="11" s="1"/>
  <c r="AD112" i="11"/>
  <c r="AJ112" i="11" s="1"/>
  <c r="AD111" i="11"/>
  <c r="AJ111" i="11" s="1"/>
  <c r="AD110" i="11"/>
  <c r="AJ110" i="11" s="1"/>
  <c r="AD109" i="11"/>
  <c r="AJ109" i="11" s="1"/>
  <c r="AD108" i="11"/>
  <c r="AJ108" i="11" s="1"/>
  <c r="AD107" i="11"/>
  <c r="AJ107" i="11" s="1"/>
  <c r="AD106" i="11"/>
  <c r="AJ106" i="11" s="1"/>
  <c r="AD105" i="11"/>
  <c r="AJ105" i="11" s="1"/>
  <c r="AD104" i="11"/>
  <c r="AJ104" i="11" s="1"/>
  <c r="AD103" i="11"/>
  <c r="AJ103" i="11" s="1"/>
  <c r="AD102" i="11"/>
  <c r="AJ102" i="11" s="1"/>
  <c r="AJ101" i="11"/>
  <c r="AD100" i="11"/>
  <c r="AJ100" i="11" s="1"/>
  <c r="AD99" i="11"/>
  <c r="AJ99" i="11" s="1"/>
  <c r="AD98" i="11"/>
  <c r="AJ98" i="11" s="1"/>
  <c r="AJ97" i="11"/>
  <c r="AD96" i="11"/>
  <c r="AJ96" i="11" s="1"/>
  <c r="AD94" i="11"/>
  <c r="AJ94" i="11" s="1"/>
  <c r="AD93" i="11"/>
  <c r="AJ93" i="11" s="1"/>
  <c r="AD92" i="11"/>
  <c r="AJ92" i="11" s="1"/>
  <c r="AD91" i="11"/>
  <c r="AJ91" i="11" s="1"/>
  <c r="AJ88" i="11"/>
  <c r="AD87" i="11"/>
  <c r="AJ87" i="11" s="1"/>
  <c r="AD86" i="11"/>
  <c r="AJ86" i="11" s="1"/>
  <c r="AJ85" i="11"/>
  <c r="AD85" i="11"/>
  <c r="AD84" i="11"/>
  <c r="AJ84" i="11" s="1"/>
  <c r="AD83" i="11"/>
  <c r="AJ83" i="11" s="1"/>
  <c r="AD82" i="11"/>
  <c r="AJ82" i="11" s="1"/>
  <c r="AD81" i="11"/>
  <c r="AJ81" i="11" s="1"/>
  <c r="AD80" i="11"/>
  <c r="AJ80" i="11" s="1"/>
  <c r="AD79" i="11"/>
  <c r="AJ79" i="11" s="1"/>
  <c r="AD78" i="11"/>
  <c r="AJ78" i="11" s="1"/>
  <c r="AD77" i="11"/>
  <c r="AJ77" i="11" s="1"/>
  <c r="AD76" i="11"/>
  <c r="AJ76" i="11" s="1"/>
  <c r="AD75" i="11"/>
  <c r="AJ75" i="11" s="1"/>
  <c r="AD74" i="11"/>
  <c r="AJ74" i="11" s="1"/>
  <c r="AB74" i="11"/>
  <c r="AD73" i="11"/>
  <c r="AJ73" i="11" s="1"/>
  <c r="AB73" i="11"/>
  <c r="AD72" i="11"/>
  <c r="AJ72" i="11" s="1"/>
  <c r="AB72" i="11"/>
  <c r="AD70" i="11"/>
  <c r="AJ70" i="11" s="1"/>
  <c r="AD69" i="11"/>
  <c r="AJ69" i="11" s="1"/>
  <c r="AD67" i="11"/>
  <c r="AJ67" i="11" s="1"/>
  <c r="AD66" i="11"/>
  <c r="AJ66" i="11" s="1"/>
  <c r="AD65" i="11"/>
  <c r="AJ65" i="11" s="1"/>
  <c r="AD64" i="11"/>
  <c r="AJ64" i="11" s="1"/>
  <c r="AJ63" i="11"/>
  <c r="AD62" i="11"/>
  <c r="AJ62" i="11" s="1"/>
  <c r="AD61" i="11"/>
  <c r="AJ61" i="11" s="1"/>
  <c r="AD60" i="11"/>
  <c r="AJ60" i="11" s="1"/>
  <c r="AD59" i="11"/>
  <c r="AJ59" i="11" s="1"/>
  <c r="AD58" i="11"/>
  <c r="AJ58" i="11" s="1"/>
  <c r="AD57" i="11"/>
  <c r="AJ57" i="11" s="1"/>
  <c r="AD55" i="11"/>
  <c r="AJ55" i="11" s="1"/>
  <c r="AD53" i="11"/>
  <c r="AJ53" i="11" s="1"/>
  <c r="AD52" i="11"/>
  <c r="AJ52" i="11" s="1"/>
  <c r="AD48" i="11"/>
  <c r="AJ48" i="11" s="1"/>
  <c r="AD46" i="11"/>
  <c r="AJ46" i="11" s="1"/>
  <c r="AD44" i="11"/>
  <c r="AJ44" i="11" s="1"/>
  <c r="AD43" i="11"/>
  <c r="AJ43" i="11" s="1"/>
  <c r="AD42" i="11"/>
  <c r="AJ42" i="11" s="1"/>
  <c r="AD41" i="11"/>
  <c r="AJ41" i="11" s="1"/>
  <c r="AD40" i="11"/>
  <c r="AJ40" i="11" s="1"/>
  <c r="AD39" i="11"/>
  <c r="AJ39" i="11" s="1"/>
  <c r="AD38" i="11"/>
  <c r="AJ38" i="11" s="1"/>
  <c r="AD37" i="11"/>
  <c r="AJ37" i="11" s="1"/>
  <c r="AD35" i="11"/>
  <c r="AJ35" i="11" s="1"/>
  <c r="AD34" i="11"/>
  <c r="AJ34" i="11" s="1"/>
  <c r="AD33" i="11"/>
  <c r="AJ33" i="11" s="1"/>
  <c r="AD32" i="11"/>
  <c r="AJ32" i="11" s="1"/>
  <c r="AD31" i="11"/>
  <c r="AJ31" i="11" s="1"/>
  <c r="AD30" i="11"/>
  <c r="AJ30" i="11" s="1"/>
  <c r="AD29" i="11"/>
  <c r="AJ29" i="11" s="1"/>
  <c r="AD28" i="11"/>
  <c r="AJ28" i="11" s="1"/>
  <c r="AD27" i="11"/>
  <c r="AJ27" i="11" s="1"/>
  <c r="AJ26" i="11"/>
  <c r="AJ25" i="11"/>
  <c r="AD24" i="11"/>
  <c r="AJ24" i="11" s="1"/>
  <c r="AJ23" i="11"/>
  <c r="AD22" i="11"/>
  <c r="AJ22" i="11" s="1"/>
  <c r="AD21" i="11"/>
  <c r="AJ21" i="11" s="1"/>
  <c r="AD19" i="11"/>
  <c r="AJ19" i="11" s="1"/>
  <c r="AD18" i="11"/>
  <c r="AJ18" i="11" s="1"/>
  <c r="AD17" i="11"/>
  <c r="AJ17" i="11" s="1"/>
  <c r="AD16" i="11"/>
  <c r="AJ16" i="11" s="1"/>
  <c r="AD15" i="11"/>
  <c r="AJ15" i="11" s="1"/>
  <c r="AD14" i="11"/>
  <c r="AJ14" i="11" s="1"/>
  <c r="X14" i="11"/>
  <c r="W14" i="11"/>
  <c r="V14" i="11"/>
  <c r="U14" i="11"/>
  <c r="X13" i="11"/>
  <c r="W13" i="11"/>
  <c r="U13" i="11"/>
  <c r="R13" i="11"/>
  <c r="V13" i="11" s="1"/>
  <c r="X12" i="11"/>
  <c r="W12" i="11"/>
  <c r="V12" i="11"/>
  <c r="U12" i="11"/>
  <c r="N12" i="11"/>
  <c r="M12" i="11"/>
  <c r="L12" i="11"/>
  <c r="K12" i="11"/>
  <c r="V11" i="11"/>
  <c r="U11" i="11"/>
  <c r="K11" i="11"/>
  <c r="X10" i="11"/>
  <c r="W10" i="11"/>
  <c r="V10" i="11"/>
  <c r="U10" i="11"/>
  <c r="N10" i="11"/>
  <c r="M10" i="11"/>
  <c r="L10" i="11"/>
  <c r="K10" i="11"/>
  <c r="X9" i="11"/>
  <c r="W9" i="11"/>
  <c r="V9" i="11"/>
  <c r="U9" i="11"/>
  <c r="N9" i="11"/>
  <c r="M9" i="11"/>
  <c r="L9" i="11"/>
  <c r="K9" i="11"/>
  <c r="X8" i="11"/>
  <c r="W8" i="11"/>
  <c r="V8" i="11"/>
  <c r="U8" i="11"/>
  <c r="N8" i="11"/>
  <c r="M8" i="11"/>
  <c r="L8" i="11"/>
  <c r="K8" i="11"/>
  <c r="X7" i="11"/>
  <c r="W7" i="11"/>
  <c r="V7" i="11"/>
  <c r="U7" i="11"/>
  <c r="N7" i="11"/>
  <c r="M7" i="11"/>
  <c r="L7" i="11"/>
  <c r="K7" i="11"/>
  <c r="E52" i="3" l="1"/>
  <c r="D52" i="3"/>
  <c r="C52" i="3"/>
  <c r="E51" i="3"/>
  <c r="D51" i="3"/>
  <c r="C51" i="3"/>
  <c r="E50" i="3"/>
  <c r="D50" i="3"/>
  <c r="C50" i="3"/>
  <c r="E49" i="3"/>
  <c r="D49" i="3"/>
  <c r="C49" i="3"/>
  <c r="E48" i="3"/>
  <c r="D48" i="3"/>
  <c r="C48" i="3"/>
  <c r="E47" i="3"/>
  <c r="D47" i="3"/>
  <c r="C47" i="3"/>
  <c r="E46" i="3"/>
  <c r="D46" i="3"/>
  <c r="C46" i="3"/>
  <c r="E45" i="3"/>
  <c r="D45" i="3"/>
  <c r="C45" i="3"/>
  <c r="E44" i="3"/>
  <c r="D44" i="3"/>
  <c r="C44" i="3"/>
  <c r="D43" i="3"/>
  <c r="C43" i="3"/>
  <c r="E42" i="3"/>
  <c r="D42" i="3"/>
  <c r="C42" i="3"/>
  <c r="E41" i="3"/>
  <c r="D41" i="3"/>
  <c r="C41" i="3"/>
  <c r="E39" i="3"/>
  <c r="D39" i="3"/>
  <c r="C39" i="3"/>
  <c r="E38" i="3"/>
  <c r="D38" i="3"/>
  <c r="C38" i="3"/>
  <c r="E37" i="3"/>
  <c r="D37" i="3"/>
  <c r="C37" i="3"/>
  <c r="E36" i="3"/>
  <c r="D36" i="3"/>
  <c r="C36" i="3"/>
  <c r="E34" i="3"/>
  <c r="D34" i="3"/>
  <c r="C34" i="3"/>
  <c r="E33" i="3"/>
  <c r="D33" i="3"/>
  <c r="C33" i="3"/>
  <c r="E32" i="3"/>
  <c r="D32" i="3"/>
  <c r="C32" i="3"/>
  <c r="E31" i="3"/>
  <c r="D31" i="3"/>
  <c r="C31" i="3"/>
  <c r="E30" i="3"/>
  <c r="D30" i="3"/>
  <c r="C30" i="3"/>
  <c r="D28" i="3"/>
  <c r="C28" i="3"/>
  <c r="D27" i="3"/>
  <c r="C27" i="3"/>
  <c r="D26" i="3"/>
  <c r="C26" i="3"/>
  <c r="D25" i="3"/>
  <c r="C25" i="3"/>
  <c r="D24" i="3"/>
  <c r="C24" i="3"/>
  <c r="D23" i="3"/>
  <c r="C23" i="3"/>
  <c r="D21" i="3"/>
  <c r="C21" i="3"/>
  <c r="D20" i="3"/>
  <c r="C20" i="3"/>
  <c r="C18" i="3"/>
  <c r="C17" i="3"/>
  <c r="C16" i="3"/>
  <c r="C15" i="3"/>
  <c r="C14" i="3"/>
  <c r="D12" i="3"/>
  <c r="C12" i="3"/>
  <c r="D11" i="3"/>
  <c r="C11" i="3"/>
  <c r="E10" i="3"/>
  <c r="D10" i="3"/>
  <c r="C10" i="3"/>
  <c r="D9" i="3"/>
  <c r="C9" i="3"/>
  <c r="D8" i="3"/>
  <c r="C8" i="3"/>
  <c r="D7" i="3"/>
  <c r="C7" i="3"/>
</calcChain>
</file>

<file path=xl/comments1.xml><?xml version="1.0" encoding="utf-8"?>
<comments xmlns="http://schemas.openxmlformats.org/spreadsheetml/2006/main">
  <authors>
    <author>Author</author>
  </authors>
  <commentList>
    <comment ref="B14" authorId="0">
      <text>
        <r>
          <rPr>
            <b/>
            <sz val="9"/>
            <color indexed="81"/>
            <rFont val="Tahoma"/>
            <family val="2"/>
          </rPr>
          <t>Author:</t>
        </r>
        <r>
          <rPr>
            <sz val="9"/>
            <color indexed="81"/>
            <rFont val="Tahoma"/>
            <family val="2"/>
          </rPr>
          <t xml:space="preserve">
Đổi STT và tên đường tại QĐ 30</t>
        </r>
      </text>
    </comment>
    <comment ref="B26" authorId="0">
      <text>
        <r>
          <rPr>
            <b/>
            <sz val="9"/>
            <color indexed="81"/>
            <rFont val="Tahoma"/>
            <family val="2"/>
          </rPr>
          <t>Author:</t>
        </r>
        <r>
          <rPr>
            <sz val="9"/>
            <color indexed="81"/>
            <rFont val="Tahoma"/>
            <family val="2"/>
          </rPr>
          <t xml:space="preserve">
BS tên đường và giá đất tại QĐ 30</t>
        </r>
      </text>
    </comment>
    <comment ref="B27" authorId="0">
      <text>
        <r>
          <rPr>
            <b/>
            <sz val="9"/>
            <color indexed="81"/>
            <rFont val="Tahoma"/>
            <family val="2"/>
          </rPr>
          <t>Author:</t>
        </r>
        <r>
          <rPr>
            <sz val="9"/>
            <color indexed="81"/>
            <rFont val="Tahoma"/>
            <family val="2"/>
          </rPr>
          <t xml:space="preserve">
BS tên đường và giá đất tại QĐ 30</t>
        </r>
      </text>
    </comment>
  </commentList>
</comments>
</file>

<file path=xl/comments2.xml><?xml version="1.0" encoding="utf-8"?>
<comments xmlns="http://schemas.openxmlformats.org/spreadsheetml/2006/main">
  <authors>
    <author>Author</author>
  </authors>
  <commentList>
    <comment ref="B22" authorId="0">
      <text>
        <r>
          <rPr>
            <b/>
            <sz val="9"/>
            <color indexed="81"/>
            <rFont val="Tahoma"/>
            <family val="2"/>
          </rPr>
          <t>Author:</t>
        </r>
        <r>
          <rPr>
            <sz val="9"/>
            <color indexed="81"/>
            <rFont val="Tahoma"/>
            <family val="2"/>
          </rPr>
          <t xml:space="preserve">
không có phiếu điều tra, giải trình: không có giao dịch chuyển nhượng, giá của huyện báo cáo</t>
        </r>
      </text>
    </comment>
  </commentList>
</comments>
</file>

<file path=xl/sharedStrings.xml><?xml version="1.0" encoding="utf-8"?>
<sst xmlns="http://schemas.openxmlformats.org/spreadsheetml/2006/main" count="1876" uniqueCount="1104">
  <si>
    <t>STT</t>
  </si>
  <si>
    <t>Tên đường, đoạn đường</t>
  </si>
  <si>
    <t>Đơn giá</t>
  </si>
  <si>
    <t>Vị trí 1</t>
  </si>
  <si>
    <t>Vị trí 2</t>
  </si>
  <si>
    <t>Vị trí 3</t>
  </si>
  <si>
    <t>Vị trí 4</t>
  </si>
  <si>
    <t>I</t>
  </si>
  <si>
    <t>1.1</t>
  </si>
  <si>
    <t>1.2</t>
  </si>
  <si>
    <t>4.1</t>
  </si>
  <si>
    <t>4.2</t>
  </si>
  <si>
    <t>Đường trong khu du lịch sinh thái Him Lam và các đường nối vào khu du lịch sinh thái Him Lam</t>
  </si>
  <si>
    <t>2.2</t>
  </si>
  <si>
    <t>II</t>
  </si>
  <si>
    <t>3.1</t>
  </si>
  <si>
    <t>3.2</t>
  </si>
  <si>
    <t>III</t>
  </si>
  <si>
    <t>IV</t>
  </si>
  <si>
    <t>5.1</t>
  </si>
  <si>
    <t>5.2</t>
  </si>
  <si>
    <t>V</t>
  </si>
  <si>
    <t>6.1</t>
  </si>
  <si>
    <t>6.2</t>
  </si>
  <si>
    <t>6.3</t>
  </si>
  <si>
    <r>
      <t>ĐVT: 1.000 đồng/m</t>
    </r>
    <r>
      <rPr>
        <i/>
        <vertAlign val="superscript"/>
        <sz val="12"/>
        <rFont val="Times New Roman"/>
        <family val="1"/>
      </rPr>
      <t>2</t>
    </r>
  </si>
  <si>
    <t>Đường 19,5 m</t>
  </si>
  <si>
    <t xml:space="preserve">- Đoạn từ cống nhà văn hóa tổ 5 tới ngã tư cây xăng (từ thửa đất ở đô thị thửa số 46 tờ bản đồ 23 đến hết thửa đất ở đô thị thửa số 139 tờ bản đồ 31, gồm cả thửa số 13, thửa số 20 tờ bản đồ 30) </t>
  </si>
  <si>
    <t>Đoạn từ ngã tư cây xăng đến ngã tư sân vận động – cổng chào tổ 2 (từ thửa số 94 và thửa số 53 tờ bản đồ 31 đến hết thửa số 6 đất chưa sử dụng và thửa số 67 đất chưa sử dụng, tờ bản đồ 32) (trừ khu vực đấu giá tổ 5 từ đường đôi đến trụ sở Kho bạc Nhà nước và khu vực đấu giá cổng chào tổ 2).</t>
  </si>
  <si>
    <t>Đoạn từ ngã tư sân vận động – cổng chào tổ 2 đến ngã 3 đường bê tông sang tổ 1 (từ thửa đất số 40 đất giao thông tờ bản đồ 32 đến hết thửa đất đài tưởng niệm thửa số 28 tờ bản đồ 33)</t>
  </si>
  <si>
    <t>Đoạn từ ngã 3 đường bê tông sang tổ 1 đến hết ngã ba nhà công vụ của Ngân hàng Chính sách xã hội huyện (từ thửa đất chưa sử dụng thửa đất số 5  tờ bản đồ 33 đến thửa số 57 đất nương rẫy trồng cây hàng năm khác và thửa 56 đất TSC tờ bản đồ 26 (trong đó có thửa đất số 3 đất bằng chưa sử dụng tờ bản đồ 33)</t>
  </si>
  <si>
    <t>Đoạn từ ngã 3 nhà công vụ của Ngân hàng Chính sách xã hội huyện đến ngã tư lối rẽ lên Công an huyện – trường tiểu học – Toà án huyện (từ thửa đất ở đô thị thửa 48 và đất chưa sử dụng thửa số 58 tờ bản đồ 26 đến hết thửa đất số 8 đất thủy lợi tờ bản đồ 24)</t>
  </si>
  <si>
    <t xml:space="preserve"> Đoạn từ ngã tư Công an huyện – trường tiểu học – Toà án xuống ngã 3 rẽ lên UBND, qua ngã 3 khu liên hợp thể thao đến cổng nhà văn hóa tổ 5 (thửa đất cơ sở văn hóa số 29 tờ bản đồ 23 đến hết thửa đất  sông ngòi, kênh, rạch, suối thửa số 92 và sông ngòi, kênh, rạch, suối thửa số 45 tờ bản đồ 23)</t>
  </si>
  <si>
    <t>Khu vực đấu giá tổ 5</t>
  </si>
  <si>
    <t xml:space="preserve">Từ thửa 168 đến thửa 175 tờ bản đồ 31 (bám trục đường 19,5m) </t>
  </si>
  <si>
    <t xml:space="preserve">Từ thửa 158 đến thửa 166  tờ bản đồ 31 (quay sang Kho bạc Nhà nước) </t>
  </si>
  <si>
    <t xml:space="preserve">Từ thửa 152 đến thửa 157 tờ bản đồ 31 (quay sang chợ trung tâm) </t>
  </si>
  <si>
    <t xml:space="preserve">Thửa 151, 162, 163, 164, 167  tờ bản đồ 31 (bám trục đường đôi) </t>
  </si>
  <si>
    <t>Các thửa 159, 160, 161 tờ bản đồ 31 (trong khu đấu giá)</t>
  </si>
  <si>
    <t>Trục đường đôi</t>
  </si>
  <si>
    <t>- Từ thửa đất ở đô thị thửa đất số 41 tờ bản đồ số 31 chỗ ngã ba giao đường 19,5m đến ngã ba cổng trung tâm hội nghị (trừ khu đấu giá tổ 5 và lô đất chợ trung tâm trong nhà)</t>
  </si>
  <si>
    <t>- Lô đất chợ trung tâm - trong nhà (thửa đất chợ thửa số 6 tờ bản đồ 31)</t>
  </si>
  <si>
    <t>Đường 16,5m</t>
  </si>
  <si>
    <t>Đoạn từ thửa đất xây dựng trụ sở cơ quan khu ngã ba Bưu điện – Trạm thú y – Trạm bảo vệ thực vật đến khu ngã tư Chi cục thuế (từ thửa số 79 tờ bản đồ 23 và thửa đất ở đô thị thửa số 56  đến hết thửa đất ở đô thị số 39 và thửa đất số 48 đất xây dựng trụ sở cơ quan tờ bản đồ 23)</t>
  </si>
  <si>
    <t>Đoạn từ ngã tư Chi cục thuế  đến ngã 3 phía sau Nhà truyền thống (thửa đất số 15 đất xây dựng trụ sở cơ quan tờ bản đồ số 23 và thửa đất ở đô thị thửa số 38, vòng lên hết thửa đất đất ở đô thị 62 tờ bản đồ 24)</t>
  </si>
  <si>
    <t>Đoạn từ ngã 3 sau Nhà truyền thống vòng ra sau chợ tới ngã ba đường 19,5m (ngã 3 Kho bạc, trừ khu đấu giá tổ 5)</t>
  </si>
  <si>
    <t>Đoạn từ ngã ba cây xăng đi qua Chi nhánh điện rẽ phải sang ngã tư Nhà khách đối diện chợ (từ thửa đất ở đô thị thửa số 24 và thửa đất đồi núi chưa sử dụng thửa số 28 tờ bản đồ 31, thửa đất trụ sở cơ quan, công trình sự nghiệp nhà nước thửa số 13 tờ bản đồ 31 đến hết thửa đất ở đô thị thửa số 32 tờ bản đồ 31)</t>
  </si>
  <si>
    <t>Đoạn từ ngã tư Chi cục thuế (thửa đất sông ngòi, kênh, rạch, suối thửa số 16 và thửa đất sông ngòi, kênh, rạch, suối thửa số 92 tờ bản đồ 23) đến ngã ba khu liên hợp thể thao giao đường 19,5m</t>
  </si>
  <si>
    <t>Đoạn từ ngã ba Bưu điện – Trạm Bảo vệ thực vật – Chi cục thú y đi qua trung tâm hội nghị đến hết đất chợ (từ thửa đất trụ sở cơ quan, công trình sự nghiệp nhà nước thửa số 78 tờ bản đồ 23 và thửa đất trụ sở cơ quan, công trình sự nghiệp nhà nước thửa số 12 tờ bản đồ 31 đến thửa đất chợ thửa số 6 tờ bản đồ 31- trừ thửa đất trụ sở cơ quan, công trình sự nghiệp nhà nước thửa số 9 tờ bản đồ 31)</t>
  </si>
  <si>
    <t>Đường 13,5m</t>
  </si>
  <si>
    <t>- Khu đấu giá tổ 2 (lối vào trụ sở UBND thị trấn mới)</t>
  </si>
  <si>
    <t>- Đoạn từ cổng chào tổ 2 đến thửa đất ở đô thị số 17 tờ bản đồ 36 đối diện thửa đất ở đô thị thửa số 19 tờ bản đồ 36</t>
  </si>
  <si>
    <t>- Đoạn từ thửa 81 tờ bản đồ 52 đến hết thửa đất ở đô thị số 12 tờ bản đồ số 42</t>
  </si>
  <si>
    <t>Đoạn từ ngã ba nhà công vụ của Ngân hàng chính sách xã hội huyện đến nhà ông Lò Văn Chiên (từ thửa đất ở đô thị thửa số 49 tờ bản đồ 26 và đối diện sang bên kia đường hết thửa đất 24 và 27 tờ bản đồ số 18)</t>
  </si>
  <si>
    <t>Đoạn từ ngã 3 trước cổng trường Trần Can đến hết trường Trung học cơ sở thị trấn (thửa đất trồng cây lâu năm thửa số 43 tờ bản đồ 26 đển hết thửa đất cơ sở giáo dục - đào tạo thửa số 20 tờ bản đồ 10)</t>
  </si>
  <si>
    <t>Đường 11,5 m</t>
  </si>
  <si>
    <t>Đoạn từ cổng huyện đội vòng ra sau trụ sở Huyện ủy và UBND huyện, qua phòng Tài chính - Kế hoạch huyện đến ngã ba trường THCS – THPT Trần Can (thửa đất CPQ số 7 tờ 22, vòng ra sau thửa số  25 tờ bản đồ 15 qua thửa 21 tờ bản đồ 15 đến hết thửa đất ở đô thị số 31 tờ bản đồ 18)</t>
  </si>
  <si>
    <t>Đoạn từ cổng trường Phổ thông DTNT huyện  qua cổng UBND huyện khu vực Toà án huyện xuống chân dốc ngã 3 Công an huyện – trường Tiểu học thị trấn (từ toàn bộ thửa đất cơ sở giáo dục - đào tạo số 21 và đất cơ sở sản xuất, kinh doanh 11 tờ bản đồ số 21 đến chân dốc ngã 4 Công an huyện – trường Tiểu học thị trấn).</t>
  </si>
  <si>
    <t>Đoạn từ ngã 3 phòng Tài chính - Kế hoạch huyện lên trước cổng UBND huyện, xuống dốc gặp trục đường 19,5m.</t>
  </si>
  <si>
    <t>Đoạn từ thửa đất ở đô thị thửa số 31 tờ bản đồ 25 đến hết thửa đất ở đô thị thửa số 3 tờ bản đồ 25</t>
  </si>
  <si>
    <t>VI</t>
  </si>
  <si>
    <t>Đường khác và các vị trí còn lại</t>
  </si>
  <si>
    <t>Đoạn từ ngã tư cây xăng  qua trước cửa cơ quan Tầm nhìn thế giới (từ sau thửa đất ở  đô thị  số 139 tờ 31 đến hết thửa đất ở  đô thị  số 11 tờ bản đồ 36 và 127 tờ 31)</t>
  </si>
  <si>
    <t>Đoạn từ ngã tư phòng Văn hóa – Hạt kiểm lâm  tới khu đấu giá tổ 5 (từ thửa đất thủy lợi thửa số 19 tờ bản đồ 30 đối diện thửa đất cơ sở sản xuất, kinh doanh thửa số 17 tờ bản đồ 30 đến hết thửa đất ở đô thị số 53 tờ bản đồ 30)</t>
  </si>
  <si>
    <t>Đoạn từ thửa đất ở đô thị thửa số 50 tờ bản đồ 23 và thửa đất ở đô thị thửa số 54 tờ bản đồ 24 đến hết thửa đất ở đô thị thửa số 41 và thửa đất ở đô thị thửa số 61 tờ bản đồ 24</t>
  </si>
  <si>
    <t>Các vị trí đất đồi dốc, vị trí xa trung tâm hoặc xa trục đường nhựa</t>
  </si>
  <si>
    <t>Đoạn từ ngã ba Thị trấn – Pu Nhi  theo trục đường đi Pu Nhi đến hết đường bê tông (từ thửa đất ở đô thị  số 5 tờ 12 đến đầu thửa đất nuôi trồng thủy sản nước ngọt 11 tờ bản đồ 66)</t>
  </si>
  <si>
    <t>Đoạn từ ngã 3 Thị trấn – Pu Nhi đến ngã 3 tổ 1, rẽ phải sang khu vực bãi rác (từ thửa đất ở tại đô thị thửa số 7 tờ bản đồ 12 đến hết thửa đất ở tại đô thị thửa số 18 tờ bản đồ 40)</t>
  </si>
  <si>
    <t>Đoạn từ ngã 3 tổ 1  rẽ theo hướng Na Son qua cổng Bệnh viện, đến hết ngã 3 đường bê tông (từ thửa đất ở tại đô thị thửa số 7 và số 14 tờ bản đồ 20 đến hết thửa đất ở tại đô thị thửa số 10 tờ bản đồ 76)</t>
  </si>
  <si>
    <t xml:space="preserve">Đoạn từ thửa đất bằng chưa sử dụng thửa số 83 tờ bản đồ số 18 đến ngã ba đi Pu Nhi </t>
  </si>
  <si>
    <t>Đoạn ngã 3 đối diện bể bơi đến hết thửa đất ở đô thị thửa số 25 tờ bản đồ 22</t>
  </si>
  <si>
    <t>Đường đôi sân vận động</t>
  </si>
  <si>
    <t>Các vị trí còn lại</t>
  </si>
  <si>
    <t>VII</t>
  </si>
  <si>
    <t>Ghi chú</t>
  </si>
  <si>
    <t>Nội dung sửa đổi bổ sung tên đường, giá đất</t>
  </si>
  <si>
    <t>Trục đường QL 279 thị trấn Mường Ẳng áp dụng cho đoạn đường sau: (đi theo chiều từ xã Ẳng tở đến chân đèo Tẳng Quái)</t>
  </si>
  <si>
    <t>I.</t>
  </si>
  <si>
    <t>Đoạn QL 279 từ ranh giới hành chính 364 (Ẳng Tở - TT Mường Ảng) đến hết trạm xăng dầu số 9.</t>
  </si>
  <si>
    <t>Đoạn đường ranh giới hành chính 364 (Ẳng Tở - TT Mường Ảng) đến đường rẽ vào bãi đá (đối diện bên kia đường hết đất gia đình ông Trần Danh Thêu - Tổ dân phố 10)</t>
  </si>
  <si>
    <t>Đoạn đường rẽ vào bãi đá (đối diện bên kia đường từ đất gia đình ông Trần Danh Thêu) đến hết đất gia đình ông Nguyễn Mạnh Thắng - (đối diện bên kia đường hết đất gia đình ông: Nguyễn Phương Chiến - Tổ dân phố 10)</t>
  </si>
  <si>
    <t>Đoạn đường từ biên đất gia đình ông Nguyễn Mạnh Thắng (đối diện bên kia đường từ biên đất gia đình ông: Nguyễn Phương Chiến) đến hết đất trạm xăng dầu số 9 - Tổ dân phố 9 (Đối diện bên kia đường là hết đất gia đình ông: Nguyễn Thái Luông- TDP 9)</t>
  </si>
  <si>
    <t>1.3</t>
  </si>
  <si>
    <t>Đoạn đường QL 279 từ biên đất trạm xăng dầu số 9 (Đối diện bên kia đường từ biên đất gia đình ông: Nguyễn Thái Luông) đến hết biên đất gia đình bà Khiếu Thị Nụ (đối diện bên kia đường hết đất gia đình ông Nguyễn Đức Dư)</t>
  </si>
  <si>
    <t>Đoạn đường từ biên đất trạm xăng dầu số 9 (Đối diện bên kia đường từ biên đất gia đình ông: Nguyễn Thái Luông) đến hết đất gia đình Đỗ Văn Dũng (đối diện bên kia đường là hết đất gia đình bà Bùi Thị Bé - TDP 8)</t>
  </si>
  <si>
    <t>2.1</t>
  </si>
  <si>
    <t>Đoạn đường từ biên đất gia đình ông Đỗ Văn Dũng (đối diện bên kia đường từ biên đất gia đình bà Bùi Thị Bé - TDP 8) đến hết đất bà Khiếu Thị Nụ (Đối diện bên kia đường hết đất gia đình ông Nguyễn Đức Dư)</t>
  </si>
  <si>
    <t>Đoạn đường QL 279 từ biên đất gia đình bà Khiếu Thị Nụ đến hết đất nhà ông Vi Văn Rèn (đối diện bên kia đường là hết đất gia đình ông Dương Thái Bình).</t>
  </si>
  <si>
    <t>Đoạn đường từ biên đất gia đình bà Khiếu Thị Nụ (đối diện bên kia đường là từ biên đất gia đình ông: Nguyễn Đức Dư - TDP 8) đến hết biên đất đội thuế TT (đối diện bên kia đường là hết biên đất ngân hàng NN&amp;PTNT)</t>
  </si>
  <si>
    <t>Đoạn đường từ biên đất đội thuế TT (đối diện bên kia đường từ biên đất ngân hàng nông nghiệp và PT nông thôn) đến hết đất gia đình ông Vi Văn Rèn (đối diện bên kia đường hết đất gia đình ông Dương Thái Bình - tổ dân phố 5).</t>
  </si>
  <si>
    <t>Toàn bộ khuôn viên chợ (chợ trung tâm thị trấn)</t>
  </si>
  <si>
    <t>Thay đổi tên theo QĐ30</t>
  </si>
  <si>
    <t>Đoạn đường QL 279 từ biên đất gia đình ông Vi Văn Rèn (đối diện bên kia đường từ biên đất gia đình ông Dương Thái Bình - tổ dân phố 5) đến hết đất gia đình ông Hà Bẩy (đối diện bên kia đường hết đất gia đình ông Lê Xuân Hồng.)</t>
  </si>
  <si>
    <t>Đoạn đường QL 279 từ biên đất gia đình ông Vi Văn Rèn (đối diện bên kia đường từ biên đất gia đình ông Dương Thái Bình - tổ dân phố 5) đến hết đất gia đình ông Nguyễn Văn Sinh (đối diện bên kia đường là hết đất gia đình bà Tâm Sửu - TDP5)</t>
  </si>
  <si>
    <t>Đoạn từ biên đất gia đình ông Nguyễn Văn Sinh (Đối diện bên kia đường từ biên đất gia đình bà Tâm Sửu - TDP5) đến hết đất gia đình ông Hà Bầy (đối diện bên kia đường hết đất gia đình ông Lê Xuân Hồng).</t>
  </si>
  <si>
    <t>Đoạn đường QL 279 từ biên đất gia đình ông Hà Bầy (đối diện bên kia đường từ biên đất gia đình ông Lê Xuân Hồng.) đến cống cua chân đèo.</t>
  </si>
  <si>
    <t>Đoạn từ biên đất gia đình ông Hà Bầy (đối diện bên kia đường từ biên đất gia đình ông Lê Xuân Hồng) đến hết đất gia đình ông Khôi (đối diện bên kia đường là đường đi trung tâm hành chính huyện)</t>
  </si>
  <si>
    <t>Đoạn từ biên đất gia đình ông Khôi (đối diện bên kia đường là đường đi trung tâm hành chính huyện) đến hết đất nhà sàn ông Tiến Xuân</t>
  </si>
  <si>
    <t>Đoạn từ nhà sàn ông Tiến Xuân đến cống cua chân đèo</t>
  </si>
  <si>
    <t>Từ trục đường QL 279 Thị Trấn Mường Ảng rẽ đi các ngả áp dụng cho các đoạn đường sau:</t>
  </si>
  <si>
    <t>II.</t>
  </si>
  <si>
    <t>Đoạn đường rẽ đi Ẳng Cang từ QL 279 đến đường rẽ vào khu tái định cư bản Hón</t>
  </si>
  <si>
    <t>Đoạn đường rẽ đi Ẳng Cang từ QL 279 đến hết đất gia đình ông Nguyễn Phúc Luân (Hoà) (đối diện hết đất gia đình ông Thu Thuyết - Tổ dân phố 7).</t>
  </si>
  <si>
    <t>Đoạn đường rẽ đi Ẳng Cang từ QL 279 đến hết đất gia đình ông Nguyễn Đức Mạnh (đối diện hết đất gia đình ông Thu Thuyết - Tổ dân phố 7)</t>
  </si>
  <si>
    <t>Thay đổi tên: Do chủ sử dụng đất hiện tại mang tên ông Nguyễn Đức Mạnh, ông Nguyễn Phúc Luân đã chết</t>
  </si>
  <si>
    <t>Đoạn đường giáp biên đất gia đình Nguyễn Phúc Luân (Hoà) đến hết đất bà Chu Thị Hoài (Đối diện hết đất gia đình bà Nguyễn Thị Lựu)</t>
  </si>
  <si>
    <t>Đoạn từ nhà bà Chu Thị Hoài (Đối diện hết đất gia đình bà Nguyễn Thị Lựu) đến ngầm thị trấn</t>
  </si>
  <si>
    <t>Đoạn từ nhà bà Chu Thị Hoài (đối diện hết đất gia đình bà Nguyễn Thị Lựu) đến tiếp giáp đường 27m</t>
  </si>
  <si>
    <t>Thay đổi tên: Do đoạn đường được mở rộng, kéo dài qua ngầm đến nối tiếp trục đường 27m</t>
  </si>
  <si>
    <t>1.4</t>
  </si>
  <si>
    <t xml:space="preserve">Đoạn từ ngã tư đường giao nhau với đường 42 m đến đường rẽ vào khu tái định cư bản Hón </t>
  </si>
  <si>
    <t>1.5</t>
  </si>
  <si>
    <t>Đoạn đường 27m khu tái định cư bản Hón (từ thửa số 16A - 6 đến thửa đất số 16B - 5) (Áp dụng cho cả hai bên đường)</t>
  </si>
  <si>
    <t>1.6</t>
  </si>
  <si>
    <t>Xây dựng lại giá, điều chỉnh tăng do cùng đoạn và có điều kiện tương đồng với đoạn 17 trong bảng giá</t>
  </si>
  <si>
    <t>Đoạn đường 16m khu tái định cư bản Hón từ biên đất gia đình ông Lò Văn Lả thuộc thửa đất số 16B - 4 (đối diện bên kia đường là trung tâm Giáo dục thường xuyên) đến hết thửa đất số 16 E-1 (Áp dụng cho cả hai bên đường)</t>
  </si>
  <si>
    <t>1.7</t>
  </si>
  <si>
    <t>Các đoạn đường còn lại trong khu tái định cư bản Hón</t>
  </si>
  <si>
    <t>1.8</t>
  </si>
  <si>
    <t>Đoạn đường trước cổng Trung tâm y tế huyện từ biên đất gia đình ông Nguyễn Phúc Luân (Hoà) (đối diện bên kia đường là biên đất gia đình ông Tạo Dâu) đến đường đi Ẳng Nưa.</t>
  </si>
  <si>
    <t>Đoạn đường trước lô đấu giá NV20 từ biên đất gia đình ông Nguyễn Đức Mạnh đối diện bên kia là biên đất gia đình ông Tạo (Dâu) đến đường đi Ẳng Nưa.</t>
  </si>
  <si>
    <t>Do chủ sử dụng đất hiện tại mang tên ông Nguyễn Đức Mạnh, ông Nguyễn Phúc Luân đã chết; đồng thời khu vực trên đã hình thành khu đất để thực hiện đấu giá.</t>
  </si>
  <si>
    <t>Đoạn đường rẽ đi Ẳng Nưa: Từ QL 279 đến hết đất gia đình ông Tống Văn Ba (Tổ dân phố 6) (đối diện bên kia đường là hết đất trường mầm non Hoa Hồng)</t>
  </si>
  <si>
    <t xml:space="preserve">Đoạn đường rẽ đi Ẳng Nưa: Từ QL 279 đến hết đất gia đình ông Tống Văn Ba (Tổ dân phố 6) (đối diện bên kia đường là hết đất Nhà văn hóa TDP6) </t>
  </si>
  <si>
    <t xml:space="preserve">Trường mầm non Hoa Hồng đã chuyển sang vị trí mới và vị trí cũ đã khởi công xây dựng Nhà văn hóa TDP 6 </t>
  </si>
  <si>
    <t>Đoạn đường đi Ẳng Nưa: từ biên đất gia đình ông Tống Văn Ba tổ dân phố 6 (đối diện bên kia đường là hết đất trường mầm non Hoa Hồng) đến hết đất gia đình Hạnh Ngữ (đối diện bên kia đường là hết đất gia đình ông Hứa Trụ Tám)</t>
  </si>
  <si>
    <t>Đoạn đường đi Ẳng Nưa: từ biên đất gia đình ông Tống Văn Ba tổ dân phố 6 (đối diện bên kia đường là hết đất Nhà văn hóa TDP 6) đến hết đất gia đình Hạnh Ngữ (đối diện bên kia đường là hết đất gia đình ông Hứa Trụ Tám)</t>
  </si>
  <si>
    <t>Đoạn từ biên đất gia đình Hạnh Ngữ (đối diện bên kia đường từ biên đất gia đình ông Hứa Trụ Tám) đến hết biên đất nhà ông Thừa (đối diện bên kia là hết biên đất gia đình ông Phương Thanh)</t>
  </si>
  <si>
    <t>Đoạn từ biên đất nhà ông Thừa (đối diện bên kia là biên đất gia đình ông Phương Thanh) đến mốc 364 (Thị trấn - Ẳng Nưa)</t>
  </si>
  <si>
    <t>Đường đi trung tâm hành chính huyện đoạn từ QL 279 (Từ biên đất nhà bà Tại đối diện biên đất ông Xá) đến cầu bê tông</t>
  </si>
  <si>
    <t>Đường đi trung tâm hành chính huyện đoạn từ QL 279 (Từ biên đất nhà bà Tại đối diện biên đất ông Xá) đến hết đất nhà ông Khang thủy (Một bên là nhà bà Mơ Khuân)</t>
  </si>
  <si>
    <t>7.1</t>
  </si>
  <si>
    <t>Đoạn từ nhà ông Khang thủy (Một bên là nhà bà Mơ Khuân) đến cầu bê tông</t>
  </si>
  <si>
    <t>7.2</t>
  </si>
  <si>
    <t>Đoạn từ cầu bê tông đến khu trung tâm hành chính huyện (Áp giá cho 2 bên đường)</t>
  </si>
  <si>
    <t>7.3</t>
  </si>
  <si>
    <t>Đoạn đường nội thị: Từ ngã ba tổ dân phố 2 (từ biên đất gia đình ông Thừa ) đến QL 279</t>
  </si>
  <si>
    <t>Đoạn đường nội thị: Từ ngã ba tổ dân phố 1 (từ biên đất gia đình ông Thừa) đến QL 279</t>
  </si>
  <si>
    <t>Thay đổi tên theo QĐ 30</t>
  </si>
  <si>
    <t>Đoạn đường nội thị: Từ biên đất gia đình ông Tỵ đến QL 279</t>
  </si>
  <si>
    <t>Đoạn đường bê tông thuộc các Tổ dân phố 2,3,4,5,6,7,8,9,10</t>
  </si>
  <si>
    <t>Đoạn đường bê tông thuộc các Tổ dân phố 1,3,4,5,6,7,8,9,10</t>
  </si>
  <si>
    <t>Đoạn đường bê tông thuộc Tổ dân phố 2</t>
  </si>
  <si>
    <t>10.1</t>
  </si>
  <si>
    <t>Đoạn đường bê tông thuộc Tổ dân phố 1, đường bê tông thuộc bản Hón</t>
  </si>
  <si>
    <t>Do sáp nhập Tổ dân phố 2 và TDP 1 thành TDP 1, Thay đổi tên theo QĐ 53 và kết quả khảo sát thực địa</t>
  </si>
  <si>
    <t>Đoạn đường bê tông thuộc Tổ dân phố 3</t>
  </si>
  <si>
    <t>10.2</t>
  </si>
  <si>
    <t>Đoạn đường bê tông thuộc Tổ dân phố 4</t>
  </si>
  <si>
    <t>10.3</t>
  </si>
  <si>
    <t>Đoạn đường bê tông thuộc Tổ dân phố 5</t>
  </si>
  <si>
    <t>10.4</t>
  </si>
  <si>
    <t>Thay đổi tên theo QĐ 53 và kết quả khảo sát thực địa</t>
  </si>
  <si>
    <t>Đoạn đường bê tông thuộc Tổ dân phố 6, 7</t>
  </si>
  <si>
    <t>10.5</t>
  </si>
  <si>
    <t>Đoạn đường bê tông thuộc Tổ dân phố 8</t>
  </si>
  <si>
    <t>10.6</t>
  </si>
  <si>
    <t>Đoạn đường bê tông thuộc Tổ dân phố 9</t>
  </si>
  <si>
    <t>10.7</t>
  </si>
  <si>
    <t>Đoạn đường bê tông thuộc Tổ dân phố 10</t>
  </si>
  <si>
    <t>10.8</t>
  </si>
  <si>
    <t>Các đường ngõ xóm còn lại và các bản thuộc thị trấn</t>
  </si>
  <si>
    <t>Các đoạn đường đất còn lại trong địa bàn thị trấn Mường Ảng</t>
  </si>
  <si>
    <t>Các đoạn đường 27m khu tái định cư thị trấn Mường Ảng giai đoạn 1</t>
  </si>
  <si>
    <t>Đoạn từ trung tâm hành chính huyện đến cầu hồ điều hoà</t>
  </si>
  <si>
    <t>Tách đoạn và thay đổi tên đoạn</t>
  </si>
  <si>
    <t>Đoạn từ cầu hồ điều hoà đến giáp đường 42m</t>
  </si>
  <si>
    <t>Các đoạn đường 11,5m khu tái định cư thị trấn Mường Ảng giai đoạn 1</t>
  </si>
  <si>
    <t>Đất ở bám trục đường 16,5m</t>
  </si>
  <si>
    <t>Đoạn đường bám trục đường 16,5m thuộc khu TĐC thị trấn Mường Ảng (giai đoạn 1)</t>
  </si>
  <si>
    <t>Các đoạn đường bám trục đường 42</t>
  </si>
  <si>
    <t>Trục đường 27m đoạn nối từ đường nội thị giai đoạn 1 (Đoạn đường 16,5m) với đoạn giao với trục đường 16m khu tái định cư bản Hón (Dọc biên đất cổng chính Trung tâm giáo dục thường xuyên)</t>
  </si>
  <si>
    <t>Đoạn đường 11,5 m Khu đấu giá Lô NV20 (Khu bệnh viện cũ)</t>
  </si>
  <si>
    <t>Đoạn đường 11,5m khu đấu giá lô NV20 (từ biên đất cửa hàng giặt là Gia Huy đến hết biên đất nhà ông Trường đối diện bên kia là Trung tâm trợ giúp pháp lý)</t>
  </si>
  <si>
    <t>Các đoạn đường còn lại thuộc Khu đấu giá Lô NV20 (Khu bệnh viện cũ)</t>
  </si>
  <si>
    <t>Các đoạn đường 11,5 m và 15 m Khu đấu giá Lô LK3</t>
  </si>
  <si>
    <t>Bố sung thêm tên đường và giá đất do chưa có tên trong bảng giá đất (các đoạn đường mới được đầu tư mở mới và có đoạn được nâng cấp)</t>
  </si>
  <si>
    <t>Đoạn đường nhựa giao với đường đi trung tâm hành chính huyện đi bản Bó Mạy, xã Ẳng Nưa</t>
  </si>
  <si>
    <t>ĐVT: 1.000 đồng/m²</t>
  </si>
  <si>
    <t>Đường QL 6A</t>
  </si>
  <si>
    <t>Đoạn đường từ ngã ba trung tâm thị trấn Tuần Giáo đến đường rẽ lên huyện đội đối diện là đường rẽ sang bản Chiềng Chung</t>
  </si>
  <si>
    <t>Đoạn đường từ đường rẽ lên huyện đội - đối diện là đường rẽ sang bản Chiềng Chung đến đường rẽ vào xóm Hòa Bình (khối Thắng Lợi)</t>
  </si>
  <si>
    <t>Đoạn đường từ đường rẽ lên huyện đội đến lối rẽ vào xóm Hòa Bình (khối Thắng Lợi) đối diện là đường rẽ sang bản Chiềng Chung đến hết đất nhà bà Thúy Minh</t>
  </si>
  <si>
    <t>Đoạn đường về phía Mường Lay Từ (đường rẽ vào xóm Hòa Bình đến nhà Thông Nga, Huyền Hương của  bản Nong)</t>
  </si>
  <si>
    <t>Đoạn đường về phía Mường Lay Từ (lối rẽ vào xóm Hòa Bình đối diện là ngõ rẽ vào nhà ông Đông Xuân đến hết đất nhà văn hóa bản Nong Tấu đối diện đến đất nhà ông Tân Thịnh.</t>
  </si>
  <si>
    <t>Đoạn đường đi thị xã Mường Lay từ đất  nhà Huyền Hương đến hết địa phận thị trấn.</t>
  </si>
  <si>
    <t>Đoạn đường đi thị xã Mường Lay từ đất  nhà ông Thắng Hằng phía trái đường đối diện từ nhà văn hóa bản Nong Tấu đến hết địa phận thị trấn Tuần Giáo.</t>
  </si>
  <si>
    <t>Toàn bộ khuôn viên chợ số 1 (chỉ để thuê đất)</t>
  </si>
  <si>
    <t>Đoạn đường từ ngã ba (nhà Kiều Tài phía trái đường, nhà Dũng Duyên phía phải đường) về phía Hà Nội đến đầu cầu Thị Trấn.</t>
  </si>
  <si>
    <t>Đoạn đường từ ngã ba nhà Kiều Tài đối diện đất nhà bà Duyên về phía Hà Nội đến đầu cầu Thị Trấn (Áp dụng cho cả hai bên đường)</t>
  </si>
  <si>
    <t>Đoạn đường về phía Hà Nội từ cầu Thị Trấn (nhà Dương Lập đến đường rẽ vào cầu treo khối Sơn Thủy, cổng Nghĩa trang)</t>
  </si>
  <si>
    <t>Đoạn đường về phía Hà Nội từ cầu Thị Trấn đến đất nhà ông Tùng Quân đối diện là cổng Nghĩa trang liệt sỹ (Áp dụng cho cả hai bên đường)</t>
  </si>
  <si>
    <t>Đoạn đường về phía Hà Nội từ đất nhà Tùng Quân đối diện là cổng Nghĩa trang liệt sỹ đến hết địa phận thị trấn Tuần Giáo (Áp dụng cho cả hai bên đường)</t>
  </si>
  <si>
    <t>Đoạn đường lên nghĩa trang nhân dân: Từ nhà Thơ Tạo đến hết đất nhà ông Chính</t>
  </si>
  <si>
    <t>Từ đường QL 6 rẽ đi các ngả</t>
  </si>
  <si>
    <t>Từ  QL6 lên đến cổng huyện đội</t>
  </si>
  <si>
    <t>Đoạn đường rẽ cạnh chợ sang bản Chiềng Chung: Từ QL 6 đến đầu cầu xi măng</t>
  </si>
  <si>
    <t>Đường rẽ (cạnh nhà bà Thúy - đối diện lô 753 khối Thắng Lợi) đến nhà Đông Xuân</t>
  </si>
  <si>
    <t>Đường vào hội trường khối Thắng Lợi: Từ tiếp giáp đất nhà bà Lan Tư đến hết đất nhà bà Huyền</t>
  </si>
  <si>
    <t>Đường vào xóm Hòa Bình (cạnh trường cấp III) từ tiếp giáp đất nhà ông Luyện - Huyền đến đất nhà bà Oanh đối diện là đất nhà ông Oai (Áp dụng cho cả hai bên đường)</t>
  </si>
  <si>
    <t>Đoạn đường rẽ từ QL 6A vào hội trường khối Tân Thủy: từ đất nhà bà Liễu đến hết đất nhà ông Vương  (Áp dụng cho cả hai bên đường)</t>
  </si>
  <si>
    <t xml:space="preserve">Đoạn sau bà Sinh Tuân, bà Gấm tới khu bổ túc (cũ) bản Nong Tấu- Thị trấn Tuần Giáo (Áp dụng cho cả hai bên đường) </t>
  </si>
  <si>
    <t>Đoạn sau nhà ông Học và ông Thạo đến nhà ông Bóng bản Nong Tấu - thị trấn Tuần Giáo (Áp dụng cho cả hai bên đường)</t>
  </si>
  <si>
    <t>Đoạn đường QL 279</t>
  </si>
  <si>
    <t>Đoạn đường từ ngã ba trung tâm (nhà ông Đức Nam phía trái đường chi cục thuế phía phải đường) về phía Điện Biên đến cổng Bệnh viện đối diện bên kia đường hết đất nhà ông Lê văn Vượng, bà Trần Thị Nhuận</t>
  </si>
  <si>
    <t>Đoạn đường từ cổng bệnh viện đối diện bên kia đường từ đất nhà ông Hạnh - Tiên về phía Điện Biên đến cầu bản Đông (Áp dụng cho cả hai bên đường)</t>
  </si>
  <si>
    <t>Đoạn đường từ cầu bản Đông đến hết đất nhà ông Long đối diện bên kia đường là đất nhà Trường Liên</t>
  </si>
  <si>
    <t xml:space="preserve">Đoạn đường từ nhà bà Thái đến hết đất nhà Huyền Hương (Chân dốc đỏ) đối diện bên kia đường từ đất nhà bà Dịu đến hết đất nhà Huyền Hương (Chân dốc đỏ) </t>
  </si>
  <si>
    <t>Đoạn đường chân dốc đỏ từ đất nhà Huyền Hương đến đất nhà ông Anh đối diện từ đất nhà Trung Liên đến hết đất nhà ông Lưu Bá Nhu</t>
  </si>
  <si>
    <t>Đoạn đường từ hết đất nhà Lưu Bá Nhu đến cống qua đường đối diện bên kia đường từ đất nhà ông Anh đến hết đất nhà Cường Nga</t>
  </si>
  <si>
    <t>Đường mới từ ngã ba QL6 đến ngã ba QL279.</t>
  </si>
  <si>
    <t>Nội dung điều chỉnh tên đường và giá đất tại VB số 1293/UBND-TNMT ngày 31/7/2024 của UBND huyện Tuần Giáo</t>
  </si>
  <si>
    <t>Đoạn từ hết đất nhà Cường Nga đối diện bên kia đường là đất ông Đàm đến hết địa phận thị trấn (hướng đi thành Phố Điện Biên Phủ)</t>
  </si>
  <si>
    <t>Từ đường QL 279 rẽ đi các ngả</t>
  </si>
  <si>
    <t>Đường rẽ từ QL 279: Đoạn từ đất bà Huệ đối diện là đất bà Khánh đến hội trường khối Đoàn Kết</t>
  </si>
  <si>
    <t>Đoạn đường từ QL 279 rẽ vào bản Đông đến nhà bà Tuyết - Thanh (Áp dụng cho cả hai bên đường)</t>
  </si>
  <si>
    <t>Đoạn đường rẽ sang Sơn Thủy: Từ QL 279 đến hết đất nhà ông Đàm Văn Lượng (Áp dụng cho cả hai bên đường)</t>
  </si>
  <si>
    <t>Đoạn đường từ Công ty Điện lực huyện Tuần Giáo đến hết đất nhà ông Thành Loan (đối diện là nhà ông Xuyến)</t>
  </si>
  <si>
    <t>Đoạn đường rẽ từ QL 279 đi qua Trung tâm bồi dưỡng chính trị đến nhà bà Loan Tiêng (Đối diện là nhà bà Lê)</t>
  </si>
  <si>
    <t>Đoạn đường rẽ (sau nhà ông Tiến khối Đoàn Kết) từ QL 279 đến nhà bà Loan Tiêng</t>
  </si>
  <si>
    <t>Đoạn đường khu đấu giá kho lương thực cũ (Áp dụng cho cả hai bên đường)</t>
  </si>
  <si>
    <t>Đoạn đường rẽ (cạnh lô TL1 - Lô 588) từ QL 279 đến trước nhà ông Dục</t>
  </si>
  <si>
    <t>Đoạn đường rẽ từ QL 279 (cạnh nhà ông Bình - Hương 20/7) đến hết đất nhà ông Vinh - Nga (Áp dụng cho cả hai bên đường)</t>
  </si>
  <si>
    <t xml:space="preserve">Khu dân cư xóm đảo khối Đoàn kết </t>
  </si>
  <si>
    <t>QL 279 đoạn đường từ sau nhà Trường Liên đến nhà ông Lưu (Khối 20/7)</t>
  </si>
  <si>
    <t>Đoạn đường bê tông vào nhà văn hóa (khối Đồng Tâm) đến hết đường bê tông (Áp dụng cho cả hai bên đường)</t>
  </si>
  <si>
    <t>Đoạn từ sau nhà ông Hòa bà Bắc đến nhà ông Chính Thái khối Đồng Tâm - thị trấn Tuần Giáo (Áp dụng cho cả hai bên đường)</t>
  </si>
  <si>
    <t>Đường nội thị</t>
  </si>
  <si>
    <t>Đoạn đường sau chợ số 1</t>
  </si>
  <si>
    <t>Đoạn đường khu tập thể Ngân hàng Nông nghiệp cũ (Cạnh trường Mầm non) đến đường sau nhà liên cơ đến nhà Đông Hương</t>
  </si>
  <si>
    <t>Đoạn đường từ QL 6 đến hội trường khối Tân Giang, nhà Thảo Tôn</t>
  </si>
  <si>
    <t>Đoạn vòng quanh sân vận động + nhà văn hóa huyện</t>
  </si>
  <si>
    <t>Đoạn đường từ nhà ông Hùng (Đối diện là nhà ông Cương) qua nhà Trãi Ngãi đến hết nhà bà Lan</t>
  </si>
  <si>
    <t>Đoạn đường từ QL6 cạnh Kho bạc đến nhà Tình Biên</t>
  </si>
  <si>
    <t>Đoạn đường vào khối Huổi Củ: Từ cổng huyện đội đến hết đất nhà ông Dũng Hà đối diện bên kia đường hết đất nhà ông Dũng Đông</t>
  </si>
  <si>
    <t xml:space="preserve">Đoạn đường sau phòng Giáo dục huyện: Từ đất nhà bà Trương Thị Lan đến đất bà Thân đối diện bên kia đường đến đất ông Quang </t>
  </si>
  <si>
    <t>Đoạn đường cạnh bãi chiếu bóng: từ sau nhà bà Thắm đến LĐLĐ huyện</t>
  </si>
  <si>
    <t xml:space="preserve">Đoạn dãy nhà số 2, số 3 sau Công ty cổ phần thương nghiệp Tuần Giáo </t>
  </si>
  <si>
    <t>Đoạn khu dân cư xóm suối ngầm (sau Lâm trường)</t>
  </si>
  <si>
    <t>Đoạn đường từ nhà bà Dung - Hưng đến nhà ông Chiền sau trường THCS Thị trấn</t>
  </si>
  <si>
    <t>Đoạn từ nhà bà Vui đến nhà Doanh Hương</t>
  </si>
  <si>
    <t xml:space="preserve">Đoạn đường (trước cổng bệnh viện) từ thửa T40.1 đến thửa T40.30 </t>
  </si>
  <si>
    <t>Đoạn đường sau nhà khách huyện: Từ nhà bà Bắc Thảo đến ngã ba hết đất nhà ông bà Sự Mận</t>
  </si>
  <si>
    <t>Đoạn đường vào Huổi Háng: từ sau nhà khách đi qua nhà ông Đỗ Xuân Hoàn đến hết đất nhà ông Ngát</t>
  </si>
  <si>
    <t>Đoạn đường cạnh Điểm trường Mầm non Đô Rê Mon</t>
  </si>
  <si>
    <t>Đoạn đường từ Bảo hiểm xã hội huyện Tuần Giáo (đối diện nhà bà Ngô Thị Hương) đi qua nhà văn hóa khối Sơn Thủy đến hết đất nhà ông bà Hòa Năm đường đi lên xã Tênh Phông</t>
  </si>
  <si>
    <t>Đoạn đường từ nhà Chín Huấn (đối diện là Tòa án nhân dân huyện Tuần Giáo) đến nhà ông Thuấn khối Tân Giang</t>
  </si>
  <si>
    <t>Đoạn đường từ sau đất nhà Thủy Chiên đến nhà nghỉ Thanh Thủy (Áp dụng cho cả hai bên đường)</t>
  </si>
  <si>
    <t>Đoạn đường từ khối Trường Xuân sau nhà ông Dục đến nhà ông Phiệt khối 20/7</t>
  </si>
  <si>
    <t>Đoạn đường từ Nhà ông Thông khối 20/7 đến nhà bà Tho khối 20/7</t>
  </si>
  <si>
    <t>Đoạn đường đi bản Sản từ nhà Văn hóa khối Sơn Thủy đến hết đất địa phận Thị trấn</t>
  </si>
  <si>
    <t>Đoạn đường từ nhà Chúc Lợi đến hết đất nhà ông bà Việt Hằng</t>
  </si>
  <si>
    <t>Những khu vực còn lại trên địa bàn các khối (trừ các bản và các nhóm dân cư trung tâm, xa đường Quốc lộ thuộc các khối trên địa bàn thị trấn)</t>
  </si>
  <si>
    <t>Các bản và các nhóm dân cư xa trung tâm, xa đường Quốc lộ thuộc các bản trên địa bàn Thị trấn</t>
  </si>
  <si>
    <t xml:space="preserve">Đoạn đường ngầm Chiềng An: Từ đất nhà Linh Hệ đến hết đất nhà ông An  </t>
  </si>
  <si>
    <t>Đoạn đường từ đất nhà bà Hà đến hết đất nhà ông Phùng Thuật - Khối Trường Xuân (Áp dụng cho cả hai bên đường)</t>
  </si>
  <si>
    <t>Đoạn đường khối Huổi Củ: Từ hết đất ông Dũng Hà đến đất nhà Ông Quang đối diện là đất ông Dũng Đông đến đến đất bà Thân</t>
  </si>
  <si>
    <t>Đoạn đường từ nhà ông khụt đến đất nhà Khương Vân - Khối Trường Xuân (Áp dụng cho cả hai bên đường)</t>
  </si>
  <si>
    <t>Đoạn đường từ nhà ông Oai đến hết đất nhà ông Đinh Hải Đường đối diện bên kia đường từ đất nhà bà Oanh đến hết đất ở nhà bà Quang</t>
  </si>
  <si>
    <t>VIII</t>
  </si>
  <si>
    <t>IX</t>
  </si>
  <si>
    <t>Đường số 1: Từ cầu Dốc Vàng- phía thị trấn đến hết đất trường Trung tâm giáo dục nghề nghiệp - Trung tâm Giáo dục thường xuyên.</t>
  </si>
  <si>
    <t>Đoạn 1: Đoạn từ ngã ba đường đi TDP Quyết Tiến (đối diện bên kia đường từ đất gia đình ông Xuân May) đến hết đất gia đình Huân Duyên thửa đất số 41 tờ bản đồ số 12 (đối diện bên kia đường hết đất gia đình ông Thắm Kiên thửa đất số 85 tờ bản đồ số 12)</t>
  </si>
  <si>
    <t xml:space="preserve"> - Đoạn 5: Các thửa đất tiếp giáp sau Chợ thị trấn. </t>
  </si>
  <si>
    <t>Đường số 2: Từ đất nhà bà Hương- thửa 15 tờ bản đồ 13 đến hết đất nhà ông Kế Liên- thửa 47 tờ bản đồ 15; bao gồm cả phía đối diện.</t>
  </si>
  <si>
    <t xml:space="preserve"> - Đoạn 1: Từ đất nhà bà Hương- thửa 15 tờ bản đồ 13 đến tiếp giáp đất Hạt Kiểm Lâm- thửa 33 tờ bản đồ 13 (phía nhà Sáu Nhàn- thửa 196 tờ bản đồ 13).</t>
  </si>
  <si>
    <t>Đường số 4: Từ đất nhà Ông Cảnh- Hạnh- thửa 71 tờ bản đồ 8 đi qua cổng Huyện đội, UBND huyện đến  hết đất bà Nguyễn Thị Hiên- thửa 91 tờ bản đồ 35 gần trạm biến áp; bao gồm cả phía đối diện.</t>
  </si>
  <si>
    <t xml:space="preserve"> Đoạn 2:  Đoạn từ đất nhà ông Giới Miến-thửa 21 tờ bản đồ số 8, qua cổng Huyện đội, UBND huyện (đối diện bên kia đường là đất ông Uyên Ngân) đến hết đất phòng Lao động - Thương binh và xã hội (đối diện hết đất phòng Tài nguyên và Môi trường)</t>
  </si>
  <si>
    <t>4.2a</t>
  </si>
  <si>
    <t xml:space="preserve"> Đoạn 2: Từ đất nhà ông Lâm Mì - thửa đất số 02 tờ bản đồ số 15 (đối diện là từ đất phòng Nông nghiệp và PTNT) đến hết đất bà Nguyễn Thị Hiên - thửa 91, tờ bản đồ số 35 gần trạm biến áp; bao gồm cả phía đối diện</t>
  </si>
  <si>
    <t>Đường số 5: Từ đất Ban quản lý dự án và PTQĐ - thửa 65 tờ bản đồ 14, đến hết đất Phòng Nội vụ- thửa  tờ 15 tờ bản đồ 15; bao gồm cả phía đối diện.</t>
  </si>
  <si>
    <t>Đường số 6: Từ đất nhà ông Bình Lượt- thửa 16 tờ bản đồ 21 đến hết đất nhà Bà Hải- thửa 36 tờ bản đồ 15; bao gồm cả phía đối diện.</t>
  </si>
  <si>
    <t>Đường số 7: Từ đất nhà ông Trung Tiện- thửa 120 tờ bản đồ 14 đến hết đất Câu lạc bộ người cao tuổi- thửa 28 tờ bản đồ 14; bao gồm cả phía đối diện.</t>
  </si>
  <si>
    <t>Đường số 8: Từ đất nhà bà Đông- thửa số 33 tờ bản đồ 20 đến hết đất nhà ông Sơn Phương- thửa số 28 tờ bản đồ 20 (Bỏ từ "bao gồm cả phía đối diện" do toàn bộ là đất của trường THPT đã dc nêu ở mục 1.1.3)</t>
  </si>
  <si>
    <t>Đường số 9: Từ đất nhà Ông Hà- Xuyên- thửa 23 tờ bản đồ 04 đến hết đất nhà ông Thào Chờ Dí- thửa 28 tờ bản đồ 03; từ đất nhà bà Lành- thửa 36 tờ bản đồ 04 đến hết đất nhà bà Ái Khày- thửa 02 tờ bản đồ 06; bao gồm cả phía đối diện.</t>
  </si>
  <si>
    <t>Đường số 10: Từ đất nhà bà Hiền Thu - thửa 173 tờ bản đồ 15 đến hết đất nhà Ông Cường- Dung- thửa 88 tờ bản đồ 15; từ đất nhà ông Trần Mạnh Tuấn- thửa 202 tờ bản đồ 21 đến hết đất nhà ông Biển Sâm- thửa 169 tờ bản đồ 21; bao gồm cả phía đối diện.</t>
  </si>
  <si>
    <t>Đường số 11: Từ đất nhà ông Vũ Ngọc Luyện- thửa 36  tờ bản đồ 21 đến hết đất nhà ông Gụ- thửa 194 tờ bản đồ 21; bao gồm cả phía đối diện từ đất nhà ông Bình- Thúy-thửa 32 tờ bản đồ 21 đến hết đất nhà ông Tuân- thửa 201 tờ bản đồ 21</t>
  </si>
  <si>
    <t>Đường số 12: Từ đất bến xe Khách huyện- thửa 38 tờ bản đồ 22 đến hết đất bà Hà Thị Hiền- thửa đất số 28 - KQHCT 01 gần trạm biến áp; bao gồm cả phía đối diện.</t>
  </si>
  <si>
    <t>Đường số 13: Từ đất nhà Xuyến Tuyên - thửa 205 tờ bản đồ 21 đến hết đất nhà ông Anh - thửa 202 tờ bản đồ 21; bao gồm cả phía đối diện từ đất nhà ông Trường - thửa 198 tờ bản đồ 21 đến hết đất nhà bà Phương Tuân - thửa 201 tờ bản đồ 21.</t>
  </si>
  <si>
    <t>Đường số 14: Từ hết đất nhà ông Trần Đình Văn - thửa đất số 82 tờ bản đồ 22 vòng qua nhà Văn hóa Tổ dân phố Thắng Lợi 2 hết đất bà Đỗ Thị Lương - thửa đất số 16 tờ bản đồ 22 gồm cả phía đối diện; Từ đất nhà bà Hằng - thửa 66 tờ bản đồ 22 đến hết lô đất thửa 82 tờ bản đồ 22 (đằng sau đất nhà ông Khiêm).</t>
  </si>
  <si>
    <t xml:space="preserve">Đường số 15: Từ đất nhà ông Trương - thửa 88 tờ bản đồ 04 đến hết đất nhà Tuấn Ngân - thửa 100 tờ bản đồ 04; bao gồm cả phía đối diện, từ đất nhà ông Màng - thửa 86 tờ bản đồ 04 đến hết đất nhà Biển Liên - thửa 79 tờ bản đồ 04. </t>
  </si>
  <si>
    <t>Các đoạn đường còn lại của thị trấn</t>
  </si>
  <si>
    <t>Đường số 16: Từ Cầu Dốc Vàng đến hết đất nhà Muôn Hằng TDP Tân Phong - thửa 223 tờ bản đồ 137, hết địa phận thị trấn Tủa Chùa (bao gồm cả phía đối diện, không tính địa phận xã Mường Báng)</t>
  </si>
  <si>
    <t>17.1</t>
  </si>
  <si>
    <t>17.2</t>
  </si>
  <si>
    <t>Đoạn 2: Từ nhà ông Nguyên - thửa 59  tờ BĐ 108 (cạnh nhà Đoàn Hằng) đến giáp đất mó nước- thửa 487 tờ BĐ 109 (bao gồm cả phía đối diện).</t>
  </si>
  <si>
    <t>17.3</t>
  </si>
  <si>
    <t>Đoạn 3: Từ hết đất mó nước - thửa 487 tờ BĐ 109 đến trụ sở UBND xã Mường Báng - thửa 107 tờ BĐ 122 (bao gồm cả phía đối diện).</t>
  </si>
  <si>
    <t>17.4</t>
  </si>
  <si>
    <t>Đoạn 4: Từ hết đất trụ sở UBND xã Mường Báng - thửa 107 tờ BĐ 122 đến hết đất nhà Muôn Hằng TDP Tân Phong - thửa 223 tờ bản đồ 137, hết địa phận thị trấn Tủa Chùa (bao gồm cả phía đối diện, không tính địa phận xã Mường Báng)</t>
  </si>
  <si>
    <t>18.1</t>
  </si>
  <si>
    <t>Đoạn 1: Từ nhà ông Minh An - thửa 268 tờ bản đồ 121 đến hết đất nhà Chiến Vấn - thửa 76 tờ BĐ 145 (bao gồm cả phía đối diện)</t>
  </si>
  <si>
    <t>18.2</t>
  </si>
  <si>
    <t>Đoạn 2: Từ hết đất nhà ông Chiến Vấn - thửa 76 tờ BĐ 145 dọc theo trục đường chính (đường Na Sang) đến hết đất bờ hồ sông Ún, hết địa phận thị trấn Tủa Chùa (bao gồm cả phía đối diện)</t>
  </si>
  <si>
    <t>Các đoạn đường còn lại trong khu tái định cư Huổi Lực</t>
  </si>
  <si>
    <t>Các đoạn đường còn lại trong các bản, tổ dân phố: Tân Phong, Bảng Sẳng, Bản Báng, Bản Bó, Bản Bó Én, Bản Nong Ten, Bản Ten</t>
  </si>
  <si>
    <t>Các đoạn đường còn lại trong các thôn, bản, tổ dân phố: Háng Sáng, Huổi Lếch; các đoạn đường thuộc địa phận thôn Súng Ún, xã Mường Báng trước đây (nay sáp nhập về thị trấn Tủa Chùa); đoạn đường từ ngã tư TDP Quyết Tiến đi qua thôn Súng Ún, xã Mường Báng trước đây (nay sáp nhập về thị trấn Tủa Chùa) đến hết địa phận thị trấn Tủa Chùa (tiếp giáp thôn Súng Ún, xã Mường Báng)</t>
  </si>
  <si>
    <t>Giá đất theo Quyết định số 36/2014/QĐ-UBND ngày 27/12/2014 của UBND tỉnh Điện Biên</t>
  </si>
  <si>
    <t>Mức giá đề nghị điều chỉnh năm 2020 - 2024</t>
  </si>
  <si>
    <t>So sánh tăng, giảm %</t>
  </si>
  <si>
    <t>Khung giá đất tại NĐ 104/NĐ-CP</t>
  </si>
  <si>
    <t>Lưu ý</t>
  </si>
  <si>
    <t>TÊN ĐƯỜNG, ĐOẠN ĐƯỜNG</t>
  </si>
  <si>
    <t>PHƯỜNG SÔNG ĐÀ</t>
  </si>
  <si>
    <t>Đường tỉnh lộ 142</t>
  </si>
  <si>
    <t xml:space="preserve"> Đường Lê Thái Tổ</t>
  </si>
  <si>
    <t>Đoạn đường từ ngã ba trung tâm thị trấn Tuần Giáo đến đường rẽ lên huyện đội đối diện là đường rẽ  sang bản Chiềng Chung</t>
  </si>
  <si>
    <t>50-15000</t>
  </si>
  <si>
    <t>Thiếu phiếu điều tra</t>
  </si>
  <si>
    <t>Đoạn đường đi thị xã Mường Lay Từ đất  nhà Huyền Hương đến đầu cầu bản Sái</t>
  </si>
  <si>
    <t>Chỉnh sửa tên đoạn cho phù hợp với thực tế</t>
  </si>
  <si>
    <t>Đoạn đường về phía Hà Nội từ đường rẽ vào cầu treo khối Sơn Thủy, cổng Nghĩa trang đến hết đất nhà Hạnh Điệu (cống qua khe Huổi Lướng)</t>
  </si>
  <si>
    <t>Đoạn từ cầu C3 (Tổ 5, phường Na Lay) đến nút giao đất khách sạn Thanh Bình.</t>
  </si>
  <si>
    <t>Tách: Đoạn đường về phía Hà Nội từ đường rẽ vào cầu treo khối Sơn Thủy, cổng Nghĩa trang đến hết đất nhà Hạnh Điệu (cống qua khe Huổi Lướng) và chỉnh sửa tên đoạn cho phù hợp với thực tế</t>
  </si>
  <si>
    <t>Đoạn từ cầu C3 (Tổ 3, phường Na Lay) đến nút giao đất khách sạn Thanh Bình.</t>
  </si>
  <si>
    <t>đề xuất hệ số k=1,1</t>
  </si>
  <si>
    <t>Đoạn từ đất khách sạn Thanh Bình đến ngã tư giao nhau với đường ĐC10, ĐC11 (hết đất thửa số 20 tờ bản đồ số 24 đối diện là cửa hàng xăng dầu Doanh nghiệp Phúc Lợi).</t>
  </si>
  <si>
    <t>Đoạn từ đất khách sạn Thanh Bình  đến ngã tư giao nhau với đường ĐC 11, ngõ 7 đường Lê Thái Tổ (Hết thửa đất số 20 tờ bản đồ số 24 đối diện là của hàng xăng dầu Doanh nghiệp Phúc Lợi)</t>
  </si>
  <si>
    <t>Sửa đổi tên đường theo nghị quyết 102, đề xuất hệ số k=1,1</t>
  </si>
  <si>
    <t>Đoạn từ ngã tư giao nhau với đường ĐC10, ĐC11 (từ cửa hàng xăng dầu Doanh nghiệp Phúc Lợi) đến nút giao Đường ĐC1 (Đường một chiều lên đài phun nước phường Sông Đà</t>
  </si>
  <si>
    <t>Đoạn từ ngã tư giao nhau với đường ĐC 11, ngõ 7 đường Lê Thái Tổ (Hết thửa đất số 20 tờ bản đồ số 24 đối diện là của hàng xăng dầu Doanh nghiệp Phúc Lợi) đến nút giao đường Nguyễn Bá Lạc (Đường một chiều lên đài phun nước phường Sông Đà)</t>
  </si>
  <si>
    <t>Đoạn từ nút giao đường ĐC1 (Đường một chiều lên đài phun nước phường Sông Đà), đi về phía tây đến hết thửa số 07 tờ bản đồ số 19 (đất ban chỉ huy Thị Đội)</t>
  </si>
  <si>
    <t>Đoạn từ nút giao đường Nguyễn Bá Lạc (Đường một chiều lên đài phun nước phường Sông Đà) đi về phía tây hết thửa  đất số 07 tờ bản đồ số 19 (Đất ban chỉ huy quân sự thị xã)</t>
  </si>
  <si>
    <t>Đoạn từ nút giao thửa số 07 tờ bản đồ số 19 (đất Ban chỉ huy Thị đội) đến hết nhà máy gạch Tuynel.</t>
  </si>
  <si>
    <t>Đoạn từ nút giao thửa số 07 tờ bản đồ số 19 (Đất ban chỉ huy quân sự thị xã ) đến hết nhà máy gạch Tuynel.</t>
  </si>
  <si>
    <t>Đoạn từ nhà máy gạch Tuynel đến ranh giới bản Huổi Min (Đoạn đường mới)</t>
  </si>
  <si>
    <t>Đoạn từ nhà máy gạch Tuynel đến ranh giới bản Huổi Min</t>
  </si>
  <si>
    <t>Đường giao thông khu Tổ 1 - Tổ 4</t>
  </si>
  <si>
    <t>Đường ĐC1 đoạn từ nút giao với đường tỉnh lộ 142 lên đến đài phun nước.</t>
  </si>
  <si>
    <t>Đường Nguyễn Bá Lạc ( hai bên đường đoạn từ đường Lê Thái Tổ lên đến đài phun nước)</t>
  </si>
  <si>
    <t>Đường ĐC2 đoạn từ nút giao với đường tỉnh lộ 142 về phía tây lên đến đài phun nước.</t>
  </si>
  <si>
    <t>Đường 17 Tháng 12 (đoạn từ nút giao với đường Lê Thái Tổ về phía tây lên đến đài phun nước).</t>
  </si>
  <si>
    <t>Đường ĐC2 đoạn từ đài phun nước đến phía đông tỉnh lộ 142 (hết đất trạm viễn thông)</t>
  </si>
  <si>
    <t>Đường 17 Tháng 12  (đoạn từ đài phun nước đến phía đông đường Lê Thái Tổ hết đất trạm viễn thông).</t>
  </si>
  <si>
    <t>Sửa đổi tên đường theo nghị quyết 102, pp trung bình hợp đồng đấu giá thu thập (3)</t>
  </si>
  <si>
    <t>Đường ĐC3 đoạn vòng cung từ nút giao với đường ĐC18 (từ đất trường tiểu học Đồi Cao đối diện đất BCH Quân sự thị xã) đến nút giao với đường ĐC10 (hết thửa số 106, tờ bản đồ 21).</t>
  </si>
  <si>
    <t>Đường ĐC3 đoạn vòng cung Ngõ 281 đường Nguyễn Bá Lạc (từ đất trường tiểu học Đồi Cao đối diện đất BCH Quân sự thị xã) đến nút giao với Ngõ 7 đường Lê Thái Tổ (hết thửa đất số 106, tờ bản đồ số 21).</t>
  </si>
  <si>
    <t>Đường ĐC4: Đoạn giao nhau với đường ĐC2 (từ đất chi cục Thống Kê đối diện đất Hạt Kiểm Lâm) chạy vòng cung đến nút giao với đường ĐC2 (hết l thửa đất Viễn thông thửa 78, tờ bản đồ 21).</t>
  </si>
  <si>
    <t>Ngõ 167 đường Nguyễn Bá Lạc (từ đất chi cục Thống Kê chạy vòng cung hết Ngõ 12 Đường 17 tháng 12 (hết thửa đất Viễn thông thửa 78, tờ bản đồ 21).</t>
  </si>
  <si>
    <t>Sửa đổi tên đường theo nghị quyết 102, pp trung bình hợp đồng đấu giá(2), chuyển nhượng (1) thu thập</t>
  </si>
  <si>
    <t>Đường ĐC5 đoạn giao nhau với đường ĐC2 (từ đất nhà ông Nguyễn Huy Thông thửa 209, tờ bản đồ 17) chạy vòng cung đến nút giao với đường ĐC2 (hết đất nhà bà Hồ Thị Tươi thửa số 48, tờ bản đồ 21).</t>
  </si>
  <si>
    <t>Ngõ 357 đường Nguyễn Bá Lạc  (từ đất nhà ông Nguyễn Huy Thông thửa 209, tờ bản đồ 17) chạy vòng cung đến hết Ngõ 241 Đường 17 Tháng 12 (thửa đất số 48, tờ bản đồ 21).</t>
  </si>
  <si>
    <t>Sửa đổi tên đường theo nghị quyết 102, pp trung bình hợp đồng đấu giá(4), chuyển nhượng (2) thu thập</t>
  </si>
  <si>
    <t>Đường ĐC6 từ nút giao với đường ĐC7 và ĐC8 đến nút giao đường tỉnh lộ 142 (hết thửa số 104 tờ bản đồ số 21 hộ ông Bùi Long Thành đối diện chợ Đồi Cao);</t>
  </si>
  <si>
    <t>Đường Chiến Thắng từ nút giao với đường ĐC8 đến nút giao đường Lê Thái Tổ (hết thửa số 104 tờ bản đồ số 21 hộ ông Bùi Long Thành đối diện chợ Đồi Cao);</t>
  </si>
  <si>
    <t>Đường ĐC7 đoạn từ nút giao phía bắc quảng trường đến nút giao đường ĐC8</t>
  </si>
  <si>
    <t>Đường Chiến Thắng đoạn từ nút giao phía bắc quảng trường vòng cung đến nút giao ngõ 281 đường Nguyễn Bá Lạ</t>
  </si>
  <si>
    <t>Đường ĐC8 đến đoạn nút giao đường D7 đến nút giao ĐC1</t>
  </si>
  <si>
    <t>Đường Chiến Thắng đoạn từ nút giao phía tây quản trường vòng cung đến nút giao đường Nguyễn Bá Lạc (Đường một Chiều)</t>
  </si>
  <si>
    <t>Đường ĐC9 đến đoạn đường nút giao ĐC6 đến nút giao ĐC1</t>
  </si>
  <si>
    <t>Đường Chiến Thắng đoạn từ nút giao phía Nam quảng trường vòng cung đến nút giao đường Nguyễn Bá Lạc (Đường một chiều)</t>
  </si>
  <si>
    <t>Đường ĐC10 đoạn từ nút giao với đường ĐC6 (Từ đất bà Phạm Thị Oanh thửa số 100, tờ bản đồ 21) đến nút giao đường tỉnh lộ 142 (hết đất cây xăng Doanh nghiệp Phúc Lợi thửa số 07, tờ bản đồ 24</t>
  </si>
  <si>
    <t>Ngõ 7 đường Lê Thái Tổ đoạn từ nút giao với đường Chiến Thắng (Từ đất bà Phạm Thị Oanh thửa số 100, tờ bản đồ 21) đến nút giao đường Lê Thái Tổ (hết đất cây xăng Doanh nghiệp Phúc Lợi thửa số 07, tờ bản đồ 24).</t>
  </si>
  <si>
    <t>Đường ĐC11 đoạn từ nút giao tỉnh lộ 142, đi theo hướng về phía bắc quanh Trung tâm dịch vụ cảng đường ven hồ, trở lại phía tây tỉnh lộ 142, đối diện với Trạm xử lý nước thải</t>
  </si>
  <si>
    <t>Đường ĐC11 đoạn từ nút giao Đường Lê Thái Tổ, đi theo hướng về phía bắc quanh Trung tâm dịch vụ cảng đường ven hồ, trở lại phía tây Đường Lê Thái Tổ, đối diện với Trạm xử lý nước thải;</t>
  </si>
  <si>
    <t>Đường ĐC18 đoạn từ phía tây tỉnh lộ 142, giáp đất Ban chỉ huy quân sự Thị đội, đi ngược về phía bắc nút giao đường ĐC7.</t>
  </si>
  <si>
    <t>Đường ĐC18 đoạn từ phía tây Đường Lê Thái Tổ, giáp đất Ban chỉ huy quân sự thị xã, đi ngược về phía bắc nút giao đường ĐC7.</t>
  </si>
  <si>
    <t>Đường ĐC19 đoạn từ giáp đường tỉnh lộ 142 đến nút giao với đường ĐC3.</t>
  </si>
  <si>
    <t>Ngõ 72 Đường Lê Thái Tổ đoạn từ giáp Đường Lê Thái Tổ đến nút giao với Ngõ 281 đường Nguyễn Bá Lạc.</t>
  </si>
  <si>
    <t>Đường ĐC20 đoạn từ giáp đường tỉnh lộ 142 đến nút giao với đường ĐC3.</t>
  </si>
  <si>
    <t>Ngõ 31 đường Lê Thái Tổ đoạn từ giáp Đường Lê Thái Tổ đến nút giao với Ngõ 272 đường 17 Tháng 12.</t>
  </si>
  <si>
    <t>Khu Tổ 6</t>
  </si>
  <si>
    <t>Khu Tổ 5</t>
  </si>
  <si>
    <t>Đường ĐC12: Đoạn từ ngã ba giáp đường ĐC16 đến nút giao với đường ĐC6, đối diện Trạm Y tế phường Sông Đà (thửa số 8 tờ bản đồ số 20).</t>
  </si>
  <si>
    <t>Đường ĐC12: Đoạn từ ngã ba giáp đường ĐC16 (theo Đường Vừ A Dính) đến nút giao với đường Chiến Thắng, đối diện Trạm Y tế phường Sông Đà (thửa số 8 tờ bản đồ số 20).</t>
  </si>
  <si>
    <t>Đường ĐC13: Đoạn từ Trạm Khí tượng (mới) đi ngược về phía nam qua đường ĐC12 theo đường vành đai đến nút giao với đường tỉnh lộ 142.</t>
  </si>
  <si>
    <t>Đường ĐC13: Đoạn từ Trạm Khí tượng (mới) đi ngược về phía nam qua đường Vừ A Dính đến nút giao với đường Đường Lê Thái Tổ.</t>
  </si>
  <si>
    <t>Đường ĐC14: Đoạn từ ngã ba giáp đường ĐC13 đi ngược về phía tây bắc qua Trung tâm dậy nghề, trung tâm bồi dưỡng chính trị tới nút giao đường ĐC17</t>
  </si>
  <si>
    <t>Đường ĐC14: Đoạn từ ngã ba giáp đường ĐC13 đi ngược về phía tây bắc qua Trung tâm Giáo dục nghề nghiệp-GDTX, trung tâm bồi dưỡng chính trị tới nút giao đường ĐC17</t>
  </si>
  <si>
    <t>Đường ĐC15: Đoạn từ nút giao đường ĐC21, (từ thửa số 23 từ bản đồ số 28) đến giao đường ĐC22 (hết thửa số 43 từ bản đồ số 31)</t>
  </si>
  <si>
    <t>Đường ĐC16: Đoạn từ nút giao đường ĐC14 ngược về phía nam qua đường ĐC12 đến giao nhau với đường ĐC22 (hết đất nhà ông Thiệu thửa số 8 tờ bản đồ số 32).</t>
  </si>
  <si>
    <t>Đường ĐC17: Đoạn từ nút giao từ đường ĐC14 đến ngã tư giao với đường ĐC12 và đường ĐC16 (đằng sau |Trung tâm bồi dưỡng chính trị và trước cổng chính của Trung tâm GDTX và Hướng nghiệp).</t>
  </si>
  <si>
    <t>Đường ĐC17: Đoạn từ nút giao từ đường ĐC14 đến ngã tư giao với đường ĐC12 và đường ĐC16 (đằng sau |Trung tâm bồi dưỡng chính trị và trước cổng chính của Trung tâm GDNN-GDTX).</t>
  </si>
  <si>
    <t>Đường ĐC21: Đoạn từ nút giao đường ĐC22 đến nút giao đường ĐC12</t>
  </si>
  <si>
    <t>Đường ĐC21: Đoạn từ nút giao đường ĐC22 đến nút giao đường ĐC12.</t>
  </si>
  <si>
    <t>Đường ĐC22: Đoạn từ nút giao đường ĐC21 đến hết đất phía sau thửa số 02 tờ bản đồ số 32 (hộ ông Điêu Văn Chiếng)</t>
  </si>
  <si>
    <t>Trục đường Quốc lộ 12.</t>
  </si>
  <si>
    <t>Đoạn từ đầu cầu Hang Tôm đến đầu cầu Bản Xá</t>
  </si>
  <si>
    <t>Bản Vùng Cao</t>
  </si>
  <si>
    <t>Bản Huổi Min</t>
  </si>
  <si>
    <t>PHƯỜNG NA LAY</t>
  </si>
  <si>
    <t>A</t>
  </si>
  <si>
    <t>Khu Tổ 5 đến giáp bản Na Nát</t>
  </si>
  <si>
    <t>Khu Tổ 3 đến giáp bản Na Nát</t>
  </si>
  <si>
    <t>Trục đường Tỉnh lộ 142</t>
  </si>
  <si>
    <t>Đường Võ Nguyên Giáp</t>
  </si>
  <si>
    <t>Đường tỉnh lộ 142: Đoạn từ phía nam cầu Chi Luông mới đi về hướng nam đường một chiều tới nút giao với đường CL9 giáp nhà bà: Lù Thị Nguyên (thửa số 64 tờ bản đồ số 22).</t>
  </si>
  <si>
    <t>Đoạn từ phía nam cầu C3 (tổ 3 phường Na Lay) đi về hướng nam đường một chiều tới nút giao với Ngõ 42 Đường Võ Nguyên Giáp, giáp nhà bà: Lù Thị Nguyên (thửa đất số 64 tờ bản đồ số 22).</t>
  </si>
  <si>
    <t>Đường tỉnh lộ 142: Đoạn từ đất nhà bà: Lù Thị Nguyên (thửa số 64 tờ bản đồ số 22), đi về phía nam tới hết đất nhà ông Điêu Văn Hận (thửa số 13 tờ bản đồ số 34 thuộc bản Chi Luông).</t>
  </si>
  <si>
    <t>Đoạn từ đất nhà bà: Lù Thị Nguyên (thửa số 64 tờ bản đồ số 22), đi về phía nam tới hết đất nhà ông Điêu Văn Hận (thửa số 13 tờ bản đồ số 34 thuộc bản Chi Luông).</t>
  </si>
  <si>
    <t>Đường giao thông nội bộ</t>
  </si>
  <si>
    <t>Đường CL1: Đoạn từ nút giao với đường tỉnh lộ 142 đến nút giao với đường CL2) Đối diện trung tâm hội nghị</t>
  </si>
  <si>
    <t>Đường CL1: Đoạn từ nút giao đường Võ Nguyên  Gíáp đến nút giao với đường Sùng Phái Sinh (Đối diện Trung tâm hội nghị)</t>
  </si>
  <si>
    <t>Đường CL2:</t>
  </si>
  <si>
    <t>Đường Sùng Phái Sinh:</t>
  </si>
  <si>
    <t>Đường CL2: Đoạn từ nút giao đường CL9 (từ nhà ông Điêu Văn Khịn thửa số 62 tờ bản đồ 22) đi qua đường CL5, đến nút giao với đường tỉnh Lộ 142;</t>
  </si>
  <si>
    <t>Đường Sùng Phái Sinh: Đoạn từ nút giao Ngõ 42 đường Võ Nguyên Giáp (từ nhà ông Điêu Văn Khịn thửa số 62 tờ bản đồ 22) đi qua Ngõ 62 đường Võ Nguyên Giáp, đến nút giao với đường Võ Nguyên Giáp;</t>
  </si>
  <si>
    <t>Đường CL2: Đoạn từ nút giao với đường CL9 (từ đất Bưu điện Chi Luông) đến nút giao với đường CL13A (hết đất giáp nhà khách UBND thị xã).</t>
  </si>
  <si>
    <t>Đường Sùng Phái Sinh: Đoạn từ nút giao Ngõ 42 đường Võ Nguyên Giáp (từ đất Bưu điện Chi Luông) đến nút giao với đường CL13A (hết đất giáp nhà khách UBND thị xã).</t>
  </si>
  <si>
    <t>Đường CL2: Đoạn từ đất nhà bà Trần Thị Hương (thửa số 89 tờ bản đồ 12 đối diện đất ông Lò Văn Óp thửa số 88 tờ bản đồ 12) đến nút giao với đường tỉnh lộ 142.</t>
  </si>
  <si>
    <t>Đường Sùng Phái Sinh: Đoạn từ đất nhà bà Trần Thị Hương (thửa số 89 tờ bản đồ 12 đối diện đất ông Lò Văn Óp thửa số 88 tờ bản đồ 12) đến nút giao với đường Võ Nguyên Giáp.</t>
  </si>
  <si>
    <t>Đường CL3: Đoạn từ nút giao với đường tỉnh Lộ 142 đến hết đất sân vận động thị xã</t>
  </si>
  <si>
    <t>Đoạn từ Ngõ 36 đường Võ Nguyên Giáp đến hết đất sân vận động thị xã</t>
  </si>
  <si>
    <t>Đường CL4: Từ nút giao với đường CL8 đến nút giao với đường tỉnh lộ 142 trước khu vực quảng trường trung tâm.</t>
  </si>
  <si>
    <t>Đường CL4: Từ nút giao với đường Tòng Văn Kim đến nút giao với đường Võ Nguyên Giáp trước khu vực quảng trường trung tâm.</t>
  </si>
  <si>
    <t>Đường CL4A: Đoạn đường giáp đất Bảo tàng và Quảng Trường</t>
  </si>
  <si>
    <t>Đường CL5: Đoạn từ nút giao với đường CL9, qua đường CL2, đường tỉnh lộ142, đường CL10 đến nút giao với đường CL13.</t>
  </si>
  <si>
    <t>Đoạn từ Ngõ 196 Đường Sùng Phái Sinh, qua đường Sùng Phái Sinh, đường Đường Võ Nguyên Giáp, Ngõ 77 đường Võ Nguyên Giáp đến nút giao với đường Tòng Văn Kim.</t>
  </si>
  <si>
    <t>Sửa đổi tên đường theo nghị quyết 102, PP trung bình hợp đồng đấu giá (3)</t>
  </si>
  <si>
    <t>Đường CL6: Đoạn từ nút giao đường CL9 đến nút giao đường CL2.</t>
  </si>
  <si>
    <t>Ngõ 192 Đường Sùng Phái Sinh</t>
  </si>
  <si>
    <t>Đường CL7: Đoạn từ nút giao đường CL9 đến nút giao đường CL2.</t>
  </si>
  <si>
    <t>Ngõ 188 Đường Sùng Phái Sinh</t>
  </si>
  <si>
    <t>Đường CL8: Đoạn từ nút giao đường CL2 đến nút giao với đường CL13</t>
  </si>
  <si>
    <t xml:space="preserve">Ngõ 26D đường Võ Nguyên Giáp giao nút  đường Sùng Phái Sinh đến đường một chiều đường Võ Nguyên Giáp </t>
  </si>
  <si>
    <t>Đường CL9: Đoạn từ giao đường CL5 (từ nhà sinh hoạt cộng đồng Bản Nghé Toong) đến nút giao với đường CL13 (hết đất nhà ông Chu Văn Toàn thửa số 01 tờ bản đồ 26);</t>
  </si>
  <si>
    <t>Ngõ 178 đường Sùng Phái Sinh (từ nhà sinh hoạt cộng đồng Bản Nghé Toong) đến nút giao với đường Tòng Văn Kim (hết đất nhà ông Chu Văn Toàn thửa số 01 tờ bản đồ 26);</t>
  </si>
  <si>
    <t>Đường CL10</t>
  </si>
  <si>
    <t>Đường Tòng Văn Kim</t>
  </si>
  <si>
    <t>Đường CL1: Đoạn từ nút giao với đường CL9 đến nút giao với đường CL13 (hết đất nhà ông Điêu Chính Khon thửa số 8 tờ bản đồ 30 thuộc bản Chi Luông).</t>
  </si>
  <si>
    <t>Đoạn từ Ngõ 51 Đường Võ Nguyên Giáp đi theo Ngách 67 Ngõ 51 Đường Võ Nguyên Giáp đến nút giao với đường Tòng Văn Kim (hết đất nhà ông Điêu Chính Khon thửa số 8 tờ bản đồ 30 thuộc bản Chi Luông).</t>
  </si>
  <si>
    <t>Đường CL1: Đoạn từ đất nhà ông Lò văn Duyên ( thửa số 8 tờ bản đồ 30 bản Chi Luông) đến nút giao với đường NN1 (hết đất nhà ông Chui Văn Kích thửa số 10 tờ bản đồ 34 bản Chi Luông).</t>
  </si>
  <si>
    <t>Đường Tòng Văn Kim: Đoạn từ đất nhà ông Lò văn Duyên ( thửa số 8 tờ bản đồ 30 bản Chi Luông) đến nút giao Ngõ 131 đường Võ Nguyên Giáp (hết đất nhà ông Chui Văn Kích thửa số 10 tờ bản đồ 34 bản Chi Luông).</t>
  </si>
  <si>
    <t>Đường CL13</t>
  </si>
  <si>
    <t>Đường CL13 từ nút giao CL10 đến nút giao đường CL9 (hết đất hộ ông Chu Văn Toàn)</t>
  </si>
  <si>
    <t>Đường Tòng Văn Kim nút giao ngách 67 ngõ 51 đường Võ Nguyên Giáp ( ông Điêu Chính Khon thửa số 8 tờ bản đồ 30 thuộc bản Chi Luông) đế nút giao Ngõ 51 Đường Võ Nguyên Giáp</t>
  </si>
  <si>
    <t>Đường CL13 từ nút giao với đường CL9 đến nút giao với đường CL8</t>
  </si>
  <si>
    <t>Từ nút giao Ngõ 51 Đường Võ Nguyên Giáp đến đường Tòng Văn Kim nút giao ngõ 21 đường Tòng Văn Kim</t>
  </si>
  <si>
    <t>Đường CL13A: Đoạn nút giao từ đường CL13B đến nút giao đường CL15</t>
  </si>
  <si>
    <t>Đường CL13A giáp nhà khách UBND thị xã từ nút giao với Ngõ 42 dường Sùng Phái Sinh đến đường Sùng Phái Sinh</t>
  </si>
  <si>
    <t>Đường CL13B: Đoạn từ nút giao với đường CL13A giáp nhà khách UBND thị xã đến nút giao với đường CL2 (hết thửa số 2, tờ bản đồ số 8 hộ ông Lưu Đức Tuấn).</t>
  </si>
  <si>
    <t>Ngõ 42 Đường Sùng Phái Sinh: Đoạn từ nút giao với đường CL13A giáp nhà khách UBND thị xã đến nút giao với đường Sùng Phái Sinh (hết thửa số 2, tờ bản đồ số 8 hộ ông Lưu Đức Tuấn).</t>
  </si>
  <si>
    <t>Đường CL14: Từ nút giao đường CL13A vị trí đất nhà bà Vi Kim Hòa (thửa số 86 tờ bản đồ 12) đến nút giao đường CL15 (hết đất thửa số 49 tờ bản đồ số 9)</t>
  </si>
  <si>
    <t>Ngõ 101 Đường Sùng Phái Sinh: Từ nút giao đường CL13A vị trí đất nhà bà Vi Kim Hòa (thửa số 86 tờ bản đồ 12) đến nút giao đường Sùng Phái Sinh (hết đất thửa số 49 tờ bản đồ số 9)</t>
  </si>
  <si>
    <t>Đường CL15: Đoạn từ đất nhà bà Phạm Thị Nhung (thửa số 94 tờ bản đồ 12 đối diện bên kia đường là đất trụ sở Ban QLDA thị xã) đến nút giao đường CL17 (hết đất thửa số 9 tờ bản đồ số 9 nhà bà Lương Thị Hương)</t>
  </si>
  <si>
    <t>Đường CL15: Đoạn từ đất nhà bà Phạm Thị Nhung (thửa số 94 tờ bản đồ 12 đối diện bên kia đường là đất trụ sở Ban QLDA thị xã) đến nút giao Ngõ 1 Đường Võ Nguyên Giáp (hết đất thửa số 9 tờ bản đồ số 9 nhà bà Lương Thị Hương)</t>
  </si>
  <si>
    <t>Đường CL16: Đoạn nút giao từ đường CL13B đến nút giao đường CL14</t>
  </si>
  <si>
    <t>Đoạn nút giao từ Ngõ 42 Đường Sùng Phái Sinh vào Ngõ 68 Đừơng Sùng Phái Sinh đến hết ngõ 77 Đường Sùng Phái Sinh.</t>
  </si>
  <si>
    <t>Đường CL17: Đoạn nút giao từ đường CL14 đến nút giao đường tỉnh lộ 142</t>
  </si>
  <si>
    <t>Ngõ 01 Đường Võ Nguyên Giáp: Đoạn nút giao từ Ngõ 101 Đường Sùng Phái Sinh đến nút giao đường Võ Nguyên Giáp</t>
  </si>
  <si>
    <t>Đường XĐ1: Đoạn từ nút giao với đường XĐ3 đến nút giao với đường CL8</t>
  </si>
  <si>
    <t>Ngõ 01 đường Tòng Văn Kim: Đoạn từ nút giao với Ngõ 49 đường Võ Nguyên Giáp đến nút giao với đường Tòng Văn Kim</t>
  </si>
  <si>
    <t>Đường XĐ2: Đọan từ nút giaovới đường XĐ3 đến nút giao với đường CL8</t>
  </si>
  <si>
    <t>Ngõ 21 đường Tòng Văn Kim: Đoạn từ nút giao với Ngõ 49 đường Võ Nguyên Giáp đến nút giao với đường Tòng Văn Kim</t>
  </si>
  <si>
    <t>Đường XĐ3: Đoạn từ nút giao với đường tỉnh lộ 142 đến nút giao với đường CL13 (Trạm xử lý nước thải).</t>
  </si>
  <si>
    <t>Ngõ 49 đường Võ Nguyên Giáp: Đoạn từ nút giao với đường Võ Nguyên Giáp đến nút giao với đường Tòng Văn Kim (Trạm xử lý nước thải).</t>
  </si>
  <si>
    <t>Đường XĐ4: Đoạn từ nút giao với đường CL3 đến nút giao với đường CL8 (hết thửa số 3 tờ bản đồ số 22).</t>
  </si>
  <si>
    <t>Ngách 28 Ngõ 26 Đường Võ Nguyên Giáp</t>
  </si>
  <si>
    <t>Đường bê tông 3m: Đoạn từ nút giao đường CL10 đến hết thửa số 5, tờ bản đồ số 34 hộ ông Chui Văn Chăm</t>
  </si>
  <si>
    <t>Đường Bê tông 3m: Đoạn từ nút giao với đường Tòng Văn Kim đến hết thửa số 5, tờ bản đồ số 34 hộ ông Chui Văn Chăm</t>
  </si>
  <si>
    <t>Đường bê tông 3m: Đoạn từ đất nhà ông Lò Văn Chương đến hết đất nhà bà Lò Thị Sơn (thửa số 59 tờ bản đồ số 22)</t>
  </si>
  <si>
    <t>Đường bê tông 3m: Đoạn từ đất nhà ông Lò Văn Chương đến hết đất nhà bà Lò Thị Sơn (thửa số 59 tờ bản đồ 22)</t>
  </si>
  <si>
    <t>Đường bê tông 3m: Đoạn từ đất nhà bà Lò Thị Thâm (thửa số 76 tờ bản đồ số 22) đến nút giao với đường CL9 (hết đất thửa số 7 tờ bản đồ số 21)</t>
  </si>
  <si>
    <t>Đường bê tông 3m: Đoạn từ đất nhà bà Lò Thị Thâm (thửa số 76 tờ bản đồ 22) đến nút giao với đường CL9 (hết đất thửa số 7 tờ bản đồ 21)</t>
  </si>
  <si>
    <t>Đường mới 1: Đoạn từ nút giao đường tỉnh lộ 142 đến nút giao với đường mới 2</t>
  </si>
  <si>
    <t>Ngõ 110 đường Võ Nguyên Giáp đoạn từ nút giao đường Võ Nguyên Giáp đến nút giao với đường mới 2;</t>
  </si>
  <si>
    <t>Đường mới 2: Đoạn từ nút giao tỉnh lộ 142 đến nút giao với đường CL2</t>
  </si>
  <si>
    <t>Ngõ 74: Đoạn từ nút giao đường đường Võ Nguyên Giáp đến nút giao với đường Sùng Phái Sinh;</t>
  </si>
  <si>
    <t>Sửa đổi tên đường theo nghị quyết 102, PP trung bình hợp đồng thu thập được (3)</t>
  </si>
  <si>
    <t>B</t>
  </si>
  <si>
    <t>Khu bản Nậm Cản đến bản Na Nát</t>
  </si>
  <si>
    <t>Đường Tỉnh lộ 142</t>
  </si>
  <si>
    <t>Đoạn từ đất nhà ông Điêu Văn Hận bản Chi Luông (thửa số 13 tờ bản đồ 34) đến ngã ba kho vật chứng Công an thị xã (thửa số 01 tờ bản đồ 46)</t>
  </si>
  <si>
    <t>Đoạn từ đất nhà ông Điêu Văn Hận bản Chi Luông (thửa số 13 tờ bản đồ 34) đến ngã 3 giao nhau giữa đường Võ Nguyên Giáp và đường Chu Văn An (thửa số 01 tờ bản đồ 46)</t>
  </si>
  <si>
    <t>Đoạn từ đất nhà sinh hoạt cộng đồng tổ 4 ( thửa số 68 tờ bản đồ số 42) đến hết bưu cục bưu điện Nậm Cản (thửa số 34 tờ bản đồ số 47)</t>
  </si>
  <si>
    <t>Đoạn Võ Nguyên Giáp từ đất Nhà sinh hoạt cộng đồng tổ 4 (thửa số 68 tờ bản đồ 42) đến hết Bưu cục bưu điện Nậm Cản (thửa số 34 tờ bản đồ 47).</t>
  </si>
  <si>
    <t>Từ Bưu điện Nậm Cản (thửa số 34 tờ bản đồ số 47) đến hết nhà bà Lò Thị Ăn (thửa số 176 tờ bản đồ số 46)</t>
  </si>
  <si>
    <t>Đoạn Võ Nguyên Giáp từ Bưu điện Nậm Cản (thửa số 34 tờ bản đồ 47) đến hết đất nhà bà Lò Thị Ăn (thửa số 176 tờ bản đồ 46).</t>
  </si>
  <si>
    <t>Đoạn nút giao từ đất nhà bà Lò Thị Ăn ( thửa số 176 tờ bản đồ số 46) đến đầu cầu Nậm Cản)</t>
  </si>
  <si>
    <t>Đoạn Võ Nguyên Giáp nút giao từ đất nhà bà Lò Thị Ăn (thửa số 176 tờ bản đồ 46) đến đầu cầu Nậm Cản.</t>
  </si>
  <si>
    <t>Đường NC1: Đoạn từ ngã ba nút giao với đường tỉnh lộ 142 đến nút giao với đường NC3;</t>
  </si>
  <si>
    <t xml:space="preserve">Đường Chu Văn An: Đoạn từ ngã ba nút giao với đường Võ Nguyên Giáp đến nút giao với đường NC3; </t>
  </si>
  <si>
    <t>Đường NC2: Đoạn từ đất nhà ông Phùng Trọng Đông ( thửa số 2 tờ bản đồ 46) đối diện đất Công an thị xã đến nút giao với đường NC7 hết đất nhà Xoan (Vĩnh) (thửa số 153 tờ bản đồ 46) đối diện hết đất trường THPT thị xã.</t>
  </si>
  <si>
    <t>Đường Chu Văn An: Đoạn từ đất nhà bà Lò Phương Thoa ( thửa số 2 tờ bản đồ 46) đối diện đất Công an thị xã đến nút giao với Ngõ 270 đường Võ Nguyên Giáp hết đất nhà Xoan (Vĩnh) (thửa số 153 tờ bản đồ 46) đối diện hết đất trường THPT thị xã.</t>
  </si>
  <si>
    <t>Đổi tên đường theo nghị quyết 102/NQ-HDND &gt; Quyết định 30, PP tính giá trung bình hợp đồng thu thập (5)</t>
  </si>
  <si>
    <t>Đường NC3 đoạn từ ngã ba nút giao với đường NC1 và NC2 đến nút giao với đường tỉnh lộ 142</t>
  </si>
  <si>
    <t>Ngõ 198 đường Võ Nguyên Giáp đoạn từ ngã ba nút giao với đường Chu Văn An đến nút giao với đường Võ Nguyên Giáp</t>
  </si>
  <si>
    <t>Đường NC4: Đoạn từ nút giao với đường NC3 giáp đất nhà ông Nguyễn Xuân Phương (thửa số 22 tờ bản đồ 46) đến nút giao với đường NC7 giáp đất nhà bà Lò Thị Tuyết (thửa số 152 tờ bản đồ 46)</t>
  </si>
  <si>
    <t>Ngách 63 Ngõ 197 Đường Võ Nguyên Giáp: Đoạn từ nút giao với Ngõ 198 đường Võ Nguyên Giáp giáp đất nhà ông Nguyễn Xuân Phương (thửa số 22 tờ bản đồ 46) đến nút giao với Ngõ 270 Đường Võ Nguyên Giáp giáp đất nhà bà Lò Thị Tuyết (thửa số 152 tờ bản đồ 46)</t>
  </si>
  <si>
    <t>Đường NC5: Đoạn từ nút giao đường NC1 đến nút giao đường Tỉnh lộ 142 (hết đất Bưu Điện Nậm Cản).</t>
  </si>
  <si>
    <t>Ngõ 196 Đường Võ Nguyên Giáp: Đoạn từ nút giao đường Chu Văn An đến nút giao đường Võ Nguyên Giáp (hết đất Bưu Điện Nậm Cản).</t>
  </si>
  <si>
    <t>Đường NC6: Đoạn từ nút giao với đường NC11 (từ đất nhà bà Trần Thị Nhị thửa số 56 tờ bản đồ 47) nút giao với đường NC7 (hết đất nhà Văn hóa phường Na Lay).</t>
  </si>
  <si>
    <t>Ngách 02 Ngõ195 Đường Võ Nguyên Giáp: Đoạn từ nút giao với Ngõ 195 Đường Võ Nguyên Giáp (từ đất nhà bà Trần Thị Nhị thửa số 56 tờ bản đồ 47) nút giao với Ngõ 257 Đường Võ Nguyên Giáp (hết đất nhà Văn hóa phường Na Lay).</t>
  </si>
  <si>
    <t>Đổi tên đường theo nghị quyết 102/NQ-HDND, Phương pháp so sánh tính giá trung bình hợp đồng thu thập (5)</t>
  </si>
  <si>
    <t>Đường NC7: Đoạn từ nút giao nhau với đường NC2 đến nút giao với đường Tỉnh lộ 142.</t>
  </si>
  <si>
    <t>Ngõ 270 Đường Võ Nguyên Giáp: Đoạn từ nút giao nhau với đường Chu Văn An đến nút giao với đường Võ Nguyên Giáp</t>
  </si>
  <si>
    <t>Đường NC9: Từ nút giao với đường Tỉnh lộ 142 đến nút giao với đường NC21.</t>
  </si>
  <si>
    <t>ngõ 257 đường võ nguyên giáp: Từ nút giao với đường Võ Nguyên Giáp đến nút giao với đường Phan Đình Giót.</t>
  </si>
  <si>
    <t>Đường NC10: Đoạn từ nút giao với đường Tỉnh lộ 142 đến nút giao với đường NC21</t>
  </si>
  <si>
    <t>Ngõ 225 Đường Võ Nguyên Giáp: Đoạn từ nút giao với đường Võ Nguyên Giáp đến nút giao với đường Phan Đình Giót</t>
  </si>
  <si>
    <t>Đường NC11 từ nút giao với Tỉnh lộ 142 đến nút giao với đường NC21</t>
  </si>
  <si>
    <t>Ngõ 195 Đường Võ Nguyên Giáp từ nút giao với đường Võ Nguyên Giáp đến nút giao với đường Phan Đình Giót</t>
  </si>
  <si>
    <t>Đường NC13: Đoạn từ nút giao với đường Tỉnh lộ 142 đến ngã tư giao nhau với đường NC2, NC18 và NC7;</t>
  </si>
  <si>
    <t>Đường NC13: Đoạn từ nút giao với đường Võ Nguyên Giáp đến ngã tư giao nhau với đường Chu Văn An, Ngõ 270 Đường Võ Nguyên Giáp;</t>
  </si>
  <si>
    <t>Đường NC15: Đoạn từ nút giao với đường NC7 (từ đất UBND phường Na Lay) đến hết đất nhà ông Lường Văn Phương (thửa số 48 tờ bản đồ 49).</t>
  </si>
  <si>
    <t>Ngõ 282 Đường Võ Nguyên Giáp: Đoạn từ nút giao với gõ 270 Đường Võ Nguyên Giáp (từ đất UBND phường Na Lay) đến hết đất nhà ông Lường Văn Phương (thửa số 48 tờ bản đồ 49).</t>
  </si>
  <si>
    <t>Đường NC16: Đoạn từ đất nhà ông Lò Văn Von (thửa số 56 tờ bản đồ 49) đến hết đất nhà ông Lù Văn Phìn (thửa số 4 tờ bản đồ 44);</t>
  </si>
  <si>
    <t>Đường Phan Đình Giót: Đoạn từ đất nhà ông Lò Văn Von (thửa số 56 tờ bản đồ 49) đến hết đất nhà ông Lù Văn Phìn (thửa số 4 tờ bản đồ 44);</t>
  </si>
  <si>
    <t>Đường NC17: Đoạn từ nút giao với đường Tỉnh lộ 142 vào suối Nậm Cản (đối diện đường NC16);</t>
  </si>
  <si>
    <t>Đường NC18: Đoạn từ nút giao với đường NC7 và NC2 đến hết đất Nhà máy nước.</t>
  </si>
  <si>
    <t>Đường Chu Văn An: Đoạn từ nút giao với Ngõ 270 Đường Võ Nguyên Giáp đến hết đất Nhà máy nước.</t>
  </si>
  <si>
    <t>Đường NC19: Đoạn từ nút giao với đường NC9 (từ đất nhà bà Tòng Thị Bạn thửa số 91 tờ bản đồ 50) đến nút giao với đường Tỉnh lộ 142.</t>
  </si>
  <si>
    <t>Ngõ 275 Đường Võ Nguyên Giáp: Đoạn từ nút giao với ngõ 257 đường võ nguyên giáp (từ đất nhà bà Tòng Thị Bạn thửa số 91 tờ bản đồ 50) đến nút giao với đường Võ Nguyên Giáp.</t>
  </si>
  <si>
    <t>Đường NC20: Đoạn từ nút giao với đường NC2 đến nút giao với đường Tỉnh lộ 142</t>
  </si>
  <si>
    <t>Ngõ 234 Đường Võ Nguyên Giáp: Đoạn từ nút giao với đường Chu Văn An đến nút giao với đường Võ Nguyên Giáp</t>
  </si>
  <si>
    <t>Đường NC21 đoạn từ nút giao với đường Tỉnh lộ 142 (đầu chợ Nậm Cản) đến nút giao với đường Tỉnh lộ 142 (đầu cầu Nậm Cản).</t>
  </si>
  <si>
    <t>Đường Phan Đình Giót đoạn từ nút giao với đường Võ nguyên Giáp (đầu chợ Nậm Cản) đến nút giao với đường Võ Nguyễn Giáp (đầu cầu Nậm Cản).</t>
  </si>
  <si>
    <t>Đường giao thông nội bộ điểm TĐC Na Nát</t>
  </si>
  <si>
    <t>Đường NN1</t>
  </si>
  <si>
    <t>Đường NN1: Đoạn từ nút giao đường Tỉnh lộ 142 (thửa số 64 TBĐ 42) đến giao với đường NN5 hết thửa số 29 TBĐ số 42)</t>
  </si>
  <si>
    <t>Đường Tòng Văn Kim: Đoạn từ nút giao đường Võ Nguyên Giáp (thửa số 64 TBĐ 42) đến giao với Ngõ 152 Đường Võ Nguyên Giáp hết thửa số 29 TBĐ số 42)</t>
  </si>
  <si>
    <t>Đường NN1: Đoạn từ giao với đường NN5 (từ thửa số 18 TBĐ số 42) đến nút giao đường CL10</t>
  </si>
  <si>
    <t>Đường Tòng Văn Kim: Đoạn từ giao với Ngõ 152 Đường Võ Nguyên Giáp (từ thửa số 18 TBĐ số 42) đến nút giao đường CL1</t>
  </si>
  <si>
    <t>Đường NN2: Đoạn từ nút giao với đường NN8 (từ thửa số 16 tờ bản đồ 34) đến nút giao với đường Tỉnh lộ 142 (hết thửa số 63 tờ bản đồ 42)</t>
  </si>
  <si>
    <t>Đường NN2: Đoạn từ nút giao với Ngõ 131 Đường Võ Nguyên Giáp (từ thửa số 16 tờ bản đồ 34) đến nút giao với đường Võ Nguyên Giáp (hết thửa số 63 tờ bản đồ 42)</t>
  </si>
  <si>
    <t>Đường NN3: Đoạn từ nút giao với đường NN5 (từ thửa số 25 tờ bản đồ 42) đến nút giao với đường NN7 (hết thửa số 23 tờ bản đồ 33)</t>
  </si>
  <si>
    <t>Ngách 248 Ngõ 141 Đường Võ Nguyên Giáp: Đoạn từ nút giao với Ngõ 152 Đường Võ Nguyên Giáp (từ thửa số 25 tờ bản đồ 42) đến nút giao với Ngõ 141 Đường Võ Nguyên Giáp (hết thửa số 23 tờ bản đồ 33)</t>
  </si>
  <si>
    <t>Đường NN4: Đoạn từ nút giao với đường NN2 đến nút giao với đường Tỉnh lộ 142</t>
  </si>
  <si>
    <t>Ngõ 160 Đường Võ Nguyên Giáp</t>
  </si>
  <si>
    <t>Đường NN5: Đoạn từ nút giao với đường Tỉnh lộ 142 đến nút giao với đường NN1;</t>
  </si>
  <si>
    <t>Ngõ 152 Đường Võ Nguyên Giáp</t>
  </si>
  <si>
    <t>Đường NN6: Đoạn từ nút giao với đường Tỉnh lộ 142 đến nút giao với đường NN1;</t>
  </si>
  <si>
    <t>Ngõ 138 Đường Võ Nguyên Giáp</t>
  </si>
  <si>
    <t>Đường NN7: Đoạn từ nút giao với đường Tỉnh lộ 142 đến nút giao với đường NN1;</t>
  </si>
  <si>
    <t>Ngõ 141 Đường Võ Nguyên Giáp</t>
  </si>
  <si>
    <t>Đường NN8: Đoạn từ nút giao với đường Tỉnh lộ 142 đến nút giao với đường NN1;</t>
  </si>
  <si>
    <t>Ngõ 131 Đường Võ Nguyên Giáp</t>
  </si>
  <si>
    <t>C</t>
  </si>
  <si>
    <t>Khu vực bản Bó đến Bệnh viện thị xã</t>
  </si>
  <si>
    <t>Khu vực bản Hốc đến Bệnh viện thị xã</t>
  </si>
  <si>
    <t>Đường Tô Vĩnh Diện</t>
  </si>
  <si>
    <t>Đoạn từ Cầu Bản Xá đến giáp đất Bến xe thị xã.</t>
  </si>
  <si>
    <t>Đường Tô Vĩnh Diện (Đoạn từ Cầu Bản Xá đến giáp đất Bến xe thị xã)</t>
  </si>
  <si>
    <t>Đoạn từ đất Bến xe thị xã đến hết địa phận phường Na Lay.</t>
  </si>
  <si>
    <t>Đường Tô Vĩnh Diện (Đoạn từ đất Bến xe thị xã đến hết địa phận phường Na Lay)</t>
  </si>
  <si>
    <t>Đường giao thông đoạn Tổ 4 - Tổ 6</t>
  </si>
  <si>
    <t>Đường CK1</t>
  </si>
  <si>
    <t>Đường 12 Tháng 12</t>
  </si>
  <si>
    <t>Đường CK1: Đoạn từ ngã tư nút giao với đường CK11 đến nút giao với đường CK8 (hết đất nhà Tâm Xứng thửa số 155 tờ bản đồ 39)</t>
  </si>
  <si>
    <t>Đường 12 Tháng 12: Đoạn từ ngã tư nút giao với đường CK11 đến nút giao với Ngõ 104 Đường 12 Tháng 12 (hết đất nhà Tâm Xứng thửa số 155 tờ bản đồ 39)</t>
  </si>
  <si>
    <t>Đổi tên đường theo nghị quyết 102/NQ-HDND, Phương pháp so sánh tính giá trung bình hợp đồng thu thập (3)</t>
  </si>
  <si>
    <t>Đường CK1: Đoạn từ ngã tư nút giao với CK11 đến nút giao với đường CK10 (hết đất nhà bà Nguyễn Thị Năm thửa số 34 tờ bản đồ 51)</t>
  </si>
  <si>
    <t>Đường 12 Tháng 12: Đoạn từ ngã tư nút giao với CK11 đến nút giao với Ngõ 164 Đường 12 Tháng 12 (hết đất nhà bà Nguyễn Thị Năm thửa số 34 tờ bản đồ 51)</t>
  </si>
  <si>
    <t>Đường CK1: Đoạn từ nút giao với đường CK8 (từ thửa số 139 tờ bản đồ 39) đến nút giao với đường CK12 (hết đất Trường tiểu học Võ Thị Sáu)</t>
  </si>
  <si>
    <t>Đường 12 Tháng 12: Đoạn từ nút giao với Ngõ 104 Đường 12 Tháng 12 (từ thửa số 139 tờ bản đồ 39) đến nút giao với đường Ngõ 40 Đường 12 Tháng 12 (hết đất Trường tiểu học Võ Thị Sáu)</t>
  </si>
  <si>
    <t>Đường CK1: Đoạn từ nút giao với đường CK10 đến hết địa giới phường Na Lay (điểm đấu nối với đường N13A và N19A xã Lay Nưa)</t>
  </si>
  <si>
    <t xml:space="preserve"> Đoạn từ nút giao Ngõ 164 Đường 12 Tháng 12 đến hết địa giới phường Na Lay (điểm đấu nối với đường Lò Văn Hặc và đường Khoàng Văn Tấm xã Lay Nưa)</t>
  </si>
  <si>
    <t>Đường CK2: Đoạn từ nút giao với đường CK7 đến nút giao với đường CK3</t>
  </si>
  <si>
    <t>Ngõ 334 Đường Bế Văn Đàn</t>
  </si>
  <si>
    <t>Đổi tên đường theo nghị quyết 102/NQ-HDND, Phương pháp tính giá trung bình hợp đồng thu thập (4)</t>
  </si>
  <si>
    <t>Đường CK3</t>
  </si>
  <si>
    <t>Đường Bế Văn Đàn</t>
  </si>
  <si>
    <t>Đường CK3: Đoạn từ đất nhà ông Cao Đăng Giang (thửa số 68 tờ bản đồ 43) đết nút giao với đường CK8 (hết đất nhà bà Nguyễn Thị Thuy thửa số 168 tờ bản đồ 39)</t>
  </si>
  <si>
    <t>Đường Bế Văn Đàn: Đoạn từ đất nhà bà Lê Thị Oanh (thửa số 68 tờ bản đồ 43) đết nút giao với Ngõ 104 Đường 12 Tháng 12 (hết đất nhà bà Nguyễn Thị Thuy thửa số 168 tờ bản đồ 39)</t>
  </si>
  <si>
    <t>Đường CK3: Đoạn từ nút giao với đường CK8 (từ đất nhà Điêu Thị Nơn thửa số 152 tờ bản đồ 39) đến nút giao với đường CK12 (hết đất nhà ông Giàng A Nhà thửa số 5 tờ bản đồ 35 đối diện là Trường tiểu học Võ Thị Sáu)</t>
  </si>
  <si>
    <t>Đoạn từ nút giao với Ngõ 104 Đường 12 Tháng 12  (từ đất nhà Điêu Thị Nơn thửa số 152 tờ bản đồ 39) đến nút giao với Ngõ 40 Đường 12 Tháng 12 (hết đất nhà ông Giàng A Nhà thửa số 5 tờ bản đồ 35 đối diện là Trường tiểu học Võ Thị Sáu)</t>
  </si>
  <si>
    <t>Đổi tên đường theo nghị quyết 102/NQ-HDND, Phương pháp tính giá trung bình hợp đồng thu thập (6)</t>
  </si>
  <si>
    <t>Đường CK4: Đoạn từ nút giao với đường CK10 đến nút giao với đường CK9</t>
  </si>
  <si>
    <t>Ngách 336 Ngõ 136 Đường 12 Tháng 12</t>
  </si>
  <si>
    <t>Đường CK5: Đoạn từ nút giao với đường CK11 đến nút giao với đường CK1;</t>
  </si>
  <si>
    <t>Đường CK5: Đoạn từ nút giao với đường CK11 đến nút giao với Đường 12 Tháng 12;</t>
  </si>
  <si>
    <t>Đường CK6: Đoạn từ nút giao với đường CK13 đến nút giao với đường CK3;</t>
  </si>
  <si>
    <t>Ngõ 51 Đường 12 Tháng 12 Và Ngõ 66 Đường 12 Tháng 12 Đoạn từ nút giao Ngõ 41 Đường 12 Tháng 12 đến nút giao với đường Bế Văn Đàn;</t>
  </si>
  <si>
    <t>Đường CK7: Đoạn từ nút giao với đường CK13 đến nút giao với đường CK3.</t>
  </si>
  <si>
    <t>Ngõ 27 Đường 12 Tháng 12 Và Ngõ 68 Đường 12 Tháng 12: Đoạn từ nút giao Ngõ 41 Đường 12 Tháng 12 đến nút giao với đường Bế Văn Đàn.</t>
  </si>
  <si>
    <t>Đường CK8: Đoạn từ nút giao với đường CK1 đến nút giao với đường CK13;</t>
  </si>
  <si>
    <t>Ngõ 104 Đường 12 Tháng 12</t>
  </si>
  <si>
    <t>Đường CK9: Đoạn từ nút giao với đường CK1 đến nút giao với đường Quốc lộ 12;</t>
  </si>
  <si>
    <t>Ngõ 136 Đường 12 Tháng 12</t>
  </si>
  <si>
    <t>Đường CK10: Đoạn từ nút giao với đường CK1 đến nút giao với đường Quốc lộ 12;</t>
  </si>
  <si>
    <t>Ngõ 164 Đường 12 Tháng 12</t>
  </si>
  <si>
    <t>Đường CK11: Đoạn từ đầu cầu cơ khí đến giao nhau với QL12;</t>
  </si>
  <si>
    <t>Đường CK12: Đoạn từ ngã tư nút giao với đường CK1, CK13 và BH1 đến nút giao với đường CK3;</t>
  </si>
  <si>
    <t>Ngõ 40 Đường 12 Tháng 12</t>
  </si>
  <si>
    <t>Đường CK13: Đoạn từ nút giao với đường CK1 đến nút giao với đường CK1 và đường BH1</t>
  </si>
  <si>
    <t>Ngõ 41 Đường 12 Tháng 12</t>
  </si>
  <si>
    <t>Đường CK14: Đoạn từ nút giao với đường CK1 đến nút giao với đường Quốc lộ 12.</t>
  </si>
  <si>
    <t>Ngõ 166 Đường 12 Tháng 12</t>
  </si>
  <si>
    <t>Đường giao thông bản Hốc</t>
  </si>
  <si>
    <t>Đường BH1: Đoạn từ ngã tư nút giao với đường CK1, CK13 và CK12 (từ đất nhà ông Lâm Văn Cơi thửa số 60 tờ bản đồ 31) đến nút giao đường QL12 (hết đất Nhà khách Trúc An)</t>
  </si>
  <si>
    <t>Đường 12 Tháng 12: Đoạn từ ngã tư nút giao với Ngõ 41 Đường 12 Tháng 12 Và Ngõ 40 Đường 12 Tháng 12 (từ đất nhà ông Lâm Văn Cơi thửa số 60 tờ bản đồ 31) đến nút giao đường QL12 (hết đất Nhà khách Trúc An)</t>
  </si>
  <si>
    <t>Đường BH2: Đoạn từ nút giao với đường BH5 (từ Trạm xử lý nước thải Cơ Khí) nút giao với đường BH1</t>
  </si>
  <si>
    <t>Ngõ 179 Đường Bế Văn Đàn Và Ngõ 01 Đường 12 Tháng 12: Đoạn từ nút giao với Ngõ 36 Đường 12 Tháng 12 (từ Trạm xử lý nước thải Cơ Khí) nút giao với Đường 12 Tháng 12</t>
  </si>
  <si>
    <t>Đường BH3: Đoạn từ nút giao với đường CK12 (từ đất nhà ông Sùng A Tủa thửa số 4 tờ bản đồ 35) đến nút giao với đường BH7 (hết đất ông Giàng Văn Hinh thửa số 4 tờ bản đồ 28)</t>
  </si>
  <si>
    <t>Đường Bế Văn Đàn: Đoạn từ nút giao với Ngõ 40 Đường 12 Tháng 12 (từ đất nhà ông Sùng A Tủa thửa số 4 tờ bản đồ 35) đến hết đất ông Giàng Văn Hinh thửa số 4 tờ bản đồ 28</t>
  </si>
  <si>
    <t>Đổi tên đường theo nghị quyết 102/NQ-HDND, Phương pháp tính giá trung bình hợp đồng thu thập (3)</t>
  </si>
  <si>
    <t>Đường BH4: Đoạn từ nút giao với đường CK12 đến hết đất thửa số 33 tờ bản đồ 31</t>
  </si>
  <si>
    <t>Ngách 230 Ngõ 40 Đường 12 Tháng 12</t>
  </si>
  <si>
    <t>Đường BH5: Đoạn từ nút giao với đường BH1 đến nút giao với BH3;</t>
  </si>
  <si>
    <t>Ngõ 36 Đường 12 Tháng 12: Đoạn từ nút giao với Đường 12 Tháng 12 đến nút giao với Đường Bế Văn Đàn;</t>
  </si>
  <si>
    <t>Đường BH6: Đoạn từ nút giao với đường BH1 đến nút giao với BH3;</t>
  </si>
  <si>
    <t>Ngõ 27 Đường 12 Tháng 12</t>
  </si>
  <si>
    <t>Đường BH7: Đoạn từ nút giao với đường BH1 đến nút giao với BH3.</t>
  </si>
  <si>
    <t>Đường Bế Văn Đàn: Đoạn từ nút giao với Đường 12 Tháng 12 đến Hết đất ông Khoàng Văn Lập thửa 6 tờ 28.</t>
  </si>
  <si>
    <t>D</t>
  </si>
  <si>
    <t>Trục đường quốc lộ 6</t>
  </si>
  <si>
    <t>Trục đường Quốc lộ 6</t>
  </si>
  <si>
    <t>Đoạn từ ngã ba Đường Quốc Lộ 12 đến hết địa phận thị xã Mường Lay</t>
  </si>
  <si>
    <t>Đoạn từ ngã ba Đường quốc lộ 12 đến hết địa phận thị xã Mường Lay</t>
  </si>
  <si>
    <t xml:space="preserve"> - Đoạn từ ngã ba Hải quan đến hết cầu trắng (trừ đoạn Khu Trung tâm thương mại và Nhà ở thương mại thành phố Điện Biên Phủ)</t>
  </si>
  <si>
    <t xml:space="preserve"> - Đoạn còn lại đến hết địa phận Thành phố (đến cầu bản Ten)</t>
  </si>
  <si>
    <t>1.9</t>
  </si>
  <si>
    <t>Đường Trần Đăng Ninh</t>
  </si>
  <si>
    <t xml:space="preserve"> - Đoạn từ ngã ba Hải quan đến hết cầu Thanh Bình</t>
  </si>
  <si>
    <t xml:space="preserve"> - Đoạn từ cầu Thanh Bình đến ngã ba tiếp giáp đường Nguyễn Hữu Thọ </t>
  </si>
  <si>
    <t xml:space="preserve">  Đường Trường Chinh</t>
  </si>
  <si>
    <t xml:space="preserve"> - Đoạn tiếp giáp Võ Nguyên Giáp đến đường rẽ vào trường PTDT nội trú tỉnh, đối diện bên kia đường đến hết đất SN 67</t>
  </si>
  <si>
    <t xml:space="preserve"> Đường Nguyễn Hữu Thọ</t>
  </si>
  <si>
    <t xml:space="preserve"> Đường Nguyễn Chí Thanh</t>
  </si>
  <si>
    <t xml:space="preserve"> - Đoạn từ ngã ba tiếp giáp đường Trần Đăng Ninh đến ngã tư đường Bế Văn Đàn</t>
  </si>
  <si>
    <t xml:space="preserve"> Đường Bế Văn Đàn</t>
  </si>
  <si>
    <t xml:space="preserve"> - Đoạn tiếp giáp đường Võ Nguyên Giáp (Ngã tư rạp chiếu bóng) đến cầu  A1</t>
  </si>
  <si>
    <t xml:space="preserve"> Đường Hoàng Công Chất</t>
  </si>
  <si>
    <t>Đường Lê Trọng Tấn</t>
  </si>
  <si>
    <t>13.1</t>
  </si>
  <si>
    <t>13.2</t>
  </si>
  <si>
    <t>18.3</t>
  </si>
  <si>
    <t>18.4</t>
  </si>
  <si>
    <t>19.1</t>
  </si>
  <si>
    <t>19.2</t>
  </si>
  <si>
    <r>
      <t>Các đường nhánh nối từ Võ Nguyên Giáp sang đường Nguyễn Chí Thanh</t>
    </r>
    <r>
      <rPr>
        <sz val="14"/>
        <rFont val="Times New Roman"/>
        <family val="1"/>
      </rPr>
      <t xml:space="preserve"> </t>
    </r>
  </si>
  <si>
    <t xml:space="preserve"> Đường Tô Vĩnh Diện</t>
  </si>
  <si>
    <t>28.1</t>
  </si>
  <si>
    <t>28.2</t>
  </si>
  <si>
    <t>Đoạn từ tiếp giáp đường 7/5 đến hết đất nghĩa trang Him Lam</t>
  </si>
  <si>
    <t xml:space="preserve">  Đường Sùng Phái Sinh</t>
  </si>
  <si>
    <t>31.1</t>
  </si>
  <si>
    <t>31.2</t>
  </si>
  <si>
    <t xml:space="preserve"> - Đoạn từ ngã ba đường Võ Nguyên Giáp đến cầu Bê tông thứ nhất </t>
  </si>
  <si>
    <t xml:space="preserve"> - Đoạn từ cầu Bê tông thứ nhất đến bờ mương</t>
  </si>
  <si>
    <t>- Đoạn từ cầu C4 đến ngã tư C4 tiếp giáp xã Thanh Hưng</t>
  </si>
  <si>
    <t>38.1</t>
  </si>
  <si>
    <t>38.2</t>
  </si>
  <si>
    <t xml:space="preserve"> Các đường còn lại tiếp giáp đường Võ Nguyên Giáp</t>
  </si>
  <si>
    <t>Đường nối từ đường Sùng Phái Sinh đến ngã tư tiếp giáp đường Hoàng Công Chất (Đường đi nghĩa trang Hòa Bình)</t>
  </si>
  <si>
    <t xml:space="preserve"> - Đoạn tiếp giáp đường Sùng Phái Sinh đến hết đất số nhà 164, đối diện bên kia là đường đi lên trạm thông tin</t>
  </si>
  <si>
    <t xml:space="preserve"> - Đoạn tiếp giáp đất số nhà 164 đối diện bên kia đường là đường đi lên trạm thông tin đến ngã ba tiếp giáp đường Hoàng Công Chất</t>
  </si>
  <si>
    <t xml:space="preserve"> - Các đường trong khu dân cư có khổ rộng 7m đến dưới 11,5m là đường nhựa, bê tông</t>
  </si>
  <si>
    <t xml:space="preserve"> - Các đường trong khu dân cư có khổ rộng 11,5m đến dưới 15 m là đường nhựa, bê tông</t>
  </si>
  <si>
    <t xml:space="preserve"> - Các đường trong khu dân cư có khổ rộng 15 m trở lên là đường nhựa, bê tông</t>
  </si>
  <si>
    <t xml:space="preserve"> - Các đường trong khu dân cư có khổ rộng 7m đến dưới 11,5m là đường đất, cấp phối </t>
  </si>
  <si>
    <t xml:space="preserve"> - Các đường trong khu dân cư có khổ rộng 11,5m đến dưới 15 m là đường đất, cấp phối </t>
  </si>
  <si>
    <t xml:space="preserve"> - Các đường trong khu dân cư có khổ rộng 15 m trở lên là đường đất, cấp phối</t>
  </si>
  <si>
    <t xml:space="preserve"> - Các đường nhựa, bê tông có khổ rộng từ 5m đến dưới 7m</t>
  </si>
  <si>
    <t xml:space="preserve"> - Các đường  nhựa, bê tông  có khổ rộng từ 3m đến dưới 5m </t>
  </si>
  <si>
    <t xml:space="preserve"> - Các đường nhựa, bê tông còn lại dưới 3m</t>
  </si>
  <si>
    <t xml:space="preserve"> - Các đường đất, cấp phối có khổ rộng từ 5m đến dưới 7m </t>
  </si>
  <si>
    <t xml:space="preserve"> - Các đường đất, cấp phối có khổ rộng từ 3m đến dưới 5m </t>
  </si>
  <si>
    <t xml:space="preserve"> - Các đường đất còn lại dưới 3m</t>
  </si>
  <si>
    <t xml:space="preserve"> - Đoạn từ tiếp giáp đường Hoàng Văn Thái đến ngã ba suối Hồng Líu (Hết địa phận phường Mường Thanh)</t>
  </si>
  <si>
    <t>Khu Trung tâm thương mại và Nhà ở thương mại thành phố Điện Biên Phủ</t>
  </si>
  <si>
    <t xml:space="preserve">Đường Võ Nguyên Giáp </t>
  </si>
  <si>
    <t>Đường cạnh Quảng trường 7/5 (đường 14m)</t>
  </si>
  <si>
    <t>Đường khổ rộng 13m</t>
  </si>
  <si>
    <t>Đường khổ rộng 10m</t>
  </si>
  <si>
    <t>Đơn vị tính: 1.000 đồng/m²</t>
  </si>
  <si>
    <t>QUỐC LỘ 12</t>
  </si>
  <si>
    <t>Đoạn từ mốc giới Thị trấn Mường Chà (giáp xã Sa Lông), đến hết đất đội cao su thị trấn, bao gồm cả hai bên mặt đường</t>
  </si>
  <si>
    <t>Đoạn từ tiếp giáp đất đội cao su thị trấn, bao gồm cả hai bên mặt đường đến hết SN 02 TDP 7 (Đất nhà Khai Súm), đối diện bên kia đường hết SN 31 TDP 6 (Đất nhà Hải Nguyên).</t>
  </si>
  <si>
    <t>Đoạn từ tiếp giáp SN 31 TDP 6 (Đất nhà Hải Nguyên), đối diện bên kia đường SN 38 TDP 6 (Đất nhà bà Phé) đến hết SN 02 TDP 6 đất cửa hàng Linh Nam 2 đối diện bên kia đường hết SN 15 TDP 5 (Đất nhà ông Thực).</t>
  </si>
  <si>
    <t>Đoạn từ SN 56 TDP 5 (nhà Mai Triệu) đối diện bên kia đường từ SN 13 tổ 5 (Đất nhà Thắm Trở) đến hết SN 01 TDP 5 (Đất nhà Bà Lãng), bên kia đường hết SN 32 TDP 5 (Đất nhà Cương Diệp).</t>
  </si>
  <si>
    <t>Đoạn từ SN 30 TDP 5 (Đất nhà Thịnh Khạt), đối diện bên kia đường từ đất bến xe đến hết SN 04 TDP 5 (Đất nhà ông Kiều Tuyết), đối diện bên kia đường hết đất chợ.</t>
  </si>
  <si>
    <t>Đoạn từ đất cửa hàng viễn thông quân đội Viettel, đối diện bên kia đường SN 04 TDP 1 nhà Bích Hưng đến SN 28 TDP 4 (Đất nhà Binh Sinh), đối diện bên kia đường hết SN 21 TDP 4 (Đất nhà Kim Tảng).</t>
  </si>
  <si>
    <t>Đoạn từ SN 23 TDP 4 (Đất nhà ông Thanh Hoàng), đối diện bên kia đường là đường rẽ vành đai 7m, đến hết SN 83 TDP 3 (Đất nhà ông Tuyên), đối diện bên kia đường hết SN 22 TDP 2 (Đất nhà bà Tuyết)</t>
  </si>
  <si>
    <t>Đoạn từ SN 85 TDP 3 (Đất nhà bà Đức), đối diện bên kia đường SN 70 TDP 3 (Nhà Tâm Mão cũ) đến hết TDP 1 (bao gồm cả hai bên mặt đường)</t>
  </si>
  <si>
    <t>Đoạn từ SN 04 TDP 11 (Đất nhà ông Liên Vân) đối diện bên kia đường đất nhà Ngân - Thìn đến hết SN 116 TDP 11 (Đất nhà Vinh Nhung) đối diện bên kia đường hết đất ông Lễ Sản.</t>
  </si>
  <si>
    <t>Đoạn tiếp giáp SN 116 TDP 11 (Đất nhà Vinh Nhung), bên kia đường tiếp giáp đất ông Lễ Sản đến hết mốc lộ giới Thị trấn Mường Chà.</t>
  </si>
  <si>
    <t>Đường Nội thị 10m khu A</t>
  </si>
  <si>
    <t>Đoạn từ SN 93 TDP 4 (Đất nhà ông An Phương), đối diện bên kia đường SN 52 TDP 4 (Đất nhà ông Xa Huấn) đến hết đất trường Mầm Non đối diện bên kia đường đất nhà Hương - Thi</t>
  </si>
  <si>
    <t>Đoạn từ SN 05 TDP 6 (Đất nhà bà Thúy) đến hết SN 43 TDP 7 đất nhà Kiên Bình</t>
  </si>
  <si>
    <t>Đoạn từ SN 72 TDP 6 (Đất nhà bà Hạnh Quyển) đến hết SN 32 TDP 7 (Đất hộ ông Mộc - Thể).</t>
  </si>
  <si>
    <t>Đường Vành đai 7m</t>
  </si>
  <si>
    <t>Đoạn từ SN 02 TDP 8 (Đất nhà ông Khu), đối diện bên kia đường từ SN 04 TDP 7 (Đất nhà bà Loan) đến hết SN 32 TDP 8 (Đất nhà Oánh Hiền), đối diện đến bên kia đường hết SN 46 TDP 7 (Đất nhà ông Hiền Thu)</t>
  </si>
  <si>
    <t>Đoạn từ SN 23 TDP 8 (Đất nhà Khánh - Phiên) đến hết đất nhà Dương Vân</t>
  </si>
  <si>
    <t>Đoạn từ cầu bê tông đến hết SN 77 TDP 9 (Đất hộ ông Thắng - Ngọc) (Bao gồm hai bên đường)</t>
  </si>
  <si>
    <t>Đoạn từ cầu bê tông (tà luy dương) đến hết SN 56 TDP 4 (Đất nhà Oai Thảnh).</t>
  </si>
  <si>
    <t>Đoạn từ cầu bê tông (tà luy âm) đến hết SN 97 TDP 4 (Đất nhà Hiên Mùi).</t>
  </si>
  <si>
    <t>Đường QL 12 rẽ xuống đoạn từ SN 68 TDP 4 (Đất nhà ông Ngọc) đến giáp kè suối (Bao gồm cả hai bên mặt đường)</t>
  </si>
  <si>
    <t>Đường nội thị 5m</t>
  </si>
  <si>
    <t>Đoạn từ SN 51 TDP 6 (Đất nhà ông Thom Kín) đối diện bên kia đường nhà ông Sương đến hết SN 49 TDP 6 (Đất bà Phương Hờ)</t>
  </si>
  <si>
    <t>Khu dân cư sau Nhà thi đấu</t>
  </si>
  <si>
    <t>Khu vực đằng sau nhà thi đấu huyện đến giáp suối Nậm Mươn</t>
  </si>
  <si>
    <t xml:space="preserve">Các đường còn lại nội thị hạ tầng Khu A thị trấn Mường Chà </t>
  </si>
  <si>
    <t>Quốc lộ 12 rẽ đi Si Pa Phìn</t>
  </si>
  <si>
    <t>Đoạn từ SN 01 TDP 10 (Đất nhà ông Kiếm), đối diện bên kia đường từ SN 02 TDP 10 (Nhà ông Minh) đến hết tổ dân phố số 10.</t>
  </si>
  <si>
    <t>Cụm dân cư Km số 5 tổ dân phố số 10</t>
  </si>
  <si>
    <t>Khu dân cư sau sân vận động</t>
  </si>
  <si>
    <t>Đoạn từ SN 21 TDP 8 (Nhà Sinh - Mai) đến đất nhà Sán - Chung</t>
  </si>
  <si>
    <t>Khu dân cư sau cây xăng số 8</t>
  </si>
  <si>
    <t>Đoạn từ SN 32 TDP 3 (Nhà Thanh - Ngọc) đến hết SN 108 TDP 3 (Nhà Phong - Tuyết) đối diện bên kia đường từ khoảng đất trống sau nhà Thủy - Tiên đến hết SN 127 - TDP 3 (nhà Hòa - Tâm)</t>
  </si>
  <si>
    <t>Khu B</t>
  </si>
  <si>
    <t>Khu dân cư đường đi bản Huổi Xuân</t>
  </si>
  <si>
    <t>1.4. HUYỆN TUẦN GIÁO</t>
  </si>
  <si>
    <t>Từ đường rẽ vào cầu treo khối Sơn Thủy, cổng Nghĩa trang đến hết địa phận thị trấn Tuần Giáo</t>
  </si>
  <si>
    <t>Đoạn đường rẽ lên UBND huyện: từ QL 6 đến giáp sân vận động (tính cả hai bên đường)</t>
  </si>
  <si>
    <t>Đường vào xóm Hòa Bình (cạnh trường cấp III) từ tiếp giáp đất nhà ông Đắc đến hết đất nhà ông Thái</t>
  </si>
  <si>
    <t xml:space="preserve">Đường rẽ sang Chiềng Chung (đối diện ngân hàng) đoạn đường sau nhà bà Thơm đến hết nhà ông Thái Dung </t>
  </si>
  <si>
    <t>Đoạn đường rẽ từ QL 6A vào hội trường khối Tân Thủy: từ đất nhà ông Chăm Vân đến hết đất nhà ông Vương.</t>
  </si>
  <si>
    <t>Đoạn sau bà Sinh Tuân, bà Gấm tới khu bổ túc (cũ) bản Nong Tấu- Thị trấn Tuần Giáo</t>
  </si>
  <si>
    <t>Đoạn sau nhà ông Học và ông Thạo đến nhà ông Bóng bản Nong Tấu - thị trấn Tuần Giáo</t>
  </si>
  <si>
    <t>Đoạn đường từ ngã ba trung tâm (nhà ông Đức Nam phía trái đường chi cục thuế phía phải đường) về phía Điện Biên đến cổng Bệnh viện đối diện bên kia đường hết đất nhà ông Lê văn Vượng, bà Trần Thị Nhuận.</t>
  </si>
  <si>
    <t>Đoạn đường từ cổng bệnh viện đối diện bên kia đường hết đất nhà ông Lê Văn Vượng, bà Trần Thị Nhuận về phía Điện Biên đến cầu bản Đông.</t>
  </si>
  <si>
    <t>Đoạn đường từ cầu bản Đông đến hết nhà ông Long (Đối diện bên kia đường là nhà Trường Liên)</t>
  </si>
  <si>
    <t>Đoạn đường từ nhà ông bà Thái (Đối diện bên kia đường là nhà ông Thắng) đến nhà Huyền Hương (Chân dốc đỏ)</t>
  </si>
  <si>
    <t>Đoạn đường chân dốc đỏ từ nhà Trung Liên đến hết nhà ông Lưu Bá Nhu</t>
  </si>
  <si>
    <t>Đoạn đường từ nhà Lưu Bá Nhu đến hết quán Thúy Nga khối Đồng Tâm</t>
  </si>
  <si>
    <t xml:space="preserve">
Theo Văn bản số 1293/UBND-TNMT ngày 31/7/2024 của UBND huyện Tuần Giáo</t>
  </si>
  <si>
    <t>Đoạn từ quán Thuý Nga Khối Đồng Tâm đến hết địa phậm thị trấn (hướng đi thành phố Điện Biển Phủ)</t>
  </si>
  <si>
    <t>Đường rẽ từ QL 279 (Từ nhà ông Chiến Oanh, bà Khánh đến hội trường khối Đoàn Kết)</t>
  </si>
  <si>
    <t>Đoạn đường rẽ vào bản Đông từ QL 279 đường sau đoạn bệnh viện đến nhà ông Tiến</t>
  </si>
  <si>
    <t>Đoạn đường rẽ sang Sơn Thủy: Từ QL 279 đến nhà ông Thành</t>
  </si>
  <si>
    <t>Đoạn đường rẽ (cạnh kho lương thực) từ QL 279 đến nhà ông Viêng</t>
  </si>
  <si>
    <t>Đoạn đường rẽ từ QL 279 (cạnh nhà ông Đức khối 20/7) đến nhà ông Thông</t>
  </si>
  <si>
    <t>QL 279 đoạn đường từ sau nhà Trường Liên đến nhà ông Phong (Khối 20/7)</t>
  </si>
  <si>
    <t>Đoạn sau nhà bà Tâm khối Đồng Tâm đối diện hội trường khối Đồng Tâm đến hết đường bê tông khối Đồng Tâm-Thị trấn Tuần Giáo</t>
  </si>
  <si>
    <t>Đoạn từ sau nhà ông Hòa bà Bắc đến nhà ông Hiệu (cũ) khối Đồng Tâm - thị trấn Tuần Giáo</t>
  </si>
  <si>
    <t>Đoạn đường xóm Hòa Bình khối Thắng Lợi: Từ nhà ông Thanh Năm đến hết đất nhà ông bà Tình Thương</t>
  </si>
  <si>
    <t>Đoạn đường vào khối Huổi Củ: Từ cổng huyện đội đi qua nhà ông Tuần, đi hết đường đến nhà ông bà Đông Hùng</t>
  </si>
  <si>
    <t>Đoạn đường từ phòng Giáo dục huyện đi qua nhà bà Hìu đến nhà ông Quang</t>
  </si>
  <si>
    <t>Đoạn dãy nhà 2 và 3 sau CTTNHH Thương mại (trước huyện đội)</t>
  </si>
  <si>
    <t>Đoạn đường liền kề sau kho lương thực</t>
  </si>
  <si>
    <t>Đoạn đường từ nhà ông Hoàng đến nhà ông Chiền sau trường THCS Thị trấn</t>
  </si>
  <si>
    <t xml:space="preserve">Đoạn đường từ nhà ông Túc khối Tân Giang đến nhà nghỉ Thanh Thủy </t>
  </si>
  <si>
    <t>Đoạn từ Ngầm Chiềng An đến QL 6 (bờ phải)</t>
  </si>
  <si>
    <t>1.6. HUYỆN TỦA CHÙA</t>
  </si>
  <si>
    <t xml:space="preserve">Tên đường, đoạn đường </t>
  </si>
  <si>
    <t>Theo Quyết định số 53/2019/QĐ-UBND ngày 31 tháng 12 năm 2019 của UBND tỉnh Điện Biên Và Quyết định số 30/2021/QĐ-UBND ngày 20 tháng 12 năm 2021 của UBND tỉnh Điện Biên</t>
  </si>
  <si>
    <t>1.6. Huyện Tủa Chùa</t>
  </si>
  <si>
    <t xml:space="preserve"> - Đoạn 1: Từ  giáp đất suối  - phía đường vào Bản Cáp đến hết đất trường THPT; bao gồm cả phía đối diện từ hết đất nhà ông Xuân May- thửa 65 tờ bản đồ 8 đến hết đất phòng Kinh tế- Hạ tầng thửa 8 tờ BĐ 20.</t>
  </si>
  <si>
    <t xml:space="preserve"> - Đoạn 2: Từ  tiếp giáp hết đất phòng Kinh tế- Hạ Tầng thửa 8 tờ BĐ 20 đến hết cầu Dốc Vàng - phía thị trấn; bao gồm cả phía đối diện từ hết đất trường THPT Tủa Chùa- thửa 8 tờ bản đồ 20 đến đầu cầu Dốc Vàng - phía Trạm Biến áp.</t>
  </si>
  <si>
    <t xml:space="preserve"> - Đoạn 3: Từ giáp đất suối giáp đất nhà bà Nhuần Điềm-thửa 5 tờ BĐ 12 đến hết đất Trung tâm giáo dục nghề nghiệp - Trung tâm GDTX- thửa 11 tờ bản đồ 01;  bao gồm cả phía đối diện từ đất nhà bà Xuyên- thửa 55 tờ bản đồ 8 (giáp suối) đến hết đất nhà ông Vì A Mạnh- thửa 30 tờ bản đồ 02.</t>
  </si>
  <si>
    <t xml:space="preserve"> - Đoạn 4: Từ hết đất nhà ông Vì A Mạnh- thửa 30 tờ bản đồ 02 đến hết đất ranh giới của Thị trấn Sính Phình; bao gồm cả phía đối diện (trục đường chính).</t>
  </si>
  <si>
    <t xml:space="preserve"> - Đoạn 2: Từ đất của Hạt Kiểm lâm- thửa 33 tờ bản đồ 13 đến hết đất nhà ông Kế Liên- thửa 47 tờ bản đồ 15.</t>
  </si>
  <si>
    <t>Đường số 3: Từ đất nhà ông Hưng Liên - thửa 4 tờ bản đồ 13 đến hết đất nhà ông Hiến Nhạn - thửa 48 tờ bản đồ 9; bao gồm cả phía đối diện từ đất nhà ông Du đến hết đất nhà ông Ân - thửa 128 tờ bản đồ 9.</t>
  </si>
  <si>
    <t xml:space="preserve"> - Đoạn 1: Từ đất nhà ông Cảnh- Hạnh đến hết đất trường Mầm non Thị trấn- thửa 25 tờ bản đồ 8; bao gồm cả phía đối diện từ đất nhà ông Trung- thửa 102 tờ bản đồ 8 đến hết đất nhà ông Uyên- thửa 34 tờ bản đồ 9; bao gồm cả phía đối diện.</t>
  </si>
  <si>
    <t xml:space="preserve"> - Đoạn 2: Từ đất nhà ông Giới Miến-thửa 21 tờ bản đồ số 8, qua cổng Huyện đội, UBND huyện đến hết đất bà Nguyễn Thị Hiên- thửa 91 tờ bản đồ 35 gần trạm biến áp; bao gồm cả phía đối diện.</t>
  </si>
  <si>
    <t>Đường số 5: Từ đất Ban quản lý dự án- thửa 65 tờ bản đồ 14, đến hết đất Trung tâm dân số KHHGĐ- thửa  tờ 15 tờ bản đồ 15; bao gồm cả phía đối diện.</t>
  </si>
  <si>
    <t>Đường số 7: Từ đất nhà ông Trung - Tiện- thửa 120 tờ bản đồ 14 đến hết đất Câu lạc bộ người cao tuổi- thửa 28 tờ bản đồ 14; bao gồm cả phía đối diện.</t>
  </si>
  <si>
    <t>Đường số 8: Từ đất nhà bà Đông- thửa số 33 tờ bản đồ 20 đến hết đất nhà ông Sơn Phương- thửa số 28 tờ bản đồ 20; bao gồm cả phía đối diện.</t>
  </si>
  <si>
    <t>Đường số 10: Từ đất nhà bà Mai Thám- thửa 173 tờ bản đồ 15 đến hết đất nhà Ông Cường- Dung- thửa 88 tờ bản đồ 15; từ đất nhà ông Trần Mạnh Tuấn- thửa 202 tờ bản đồ 21 đến hết đất nhà ông Biển Sâm- thửa 169 tờ bản đồ 21; bao gồm cả phía đối diện.</t>
  </si>
  <si>
    <t>Đường số 12: Từ đất bến xe Khách huyện- thửa 38 tờ bản đồ 22 đến đất bà Nguyễn Thị Hiên- thửa 91 tờ bản đồ 35 gần trạm biến áp; bao gồm cả phía đối diện.</t>
  </si>
  <si>
    <t>Đường số 14: Từ hết đất phía sau nhà ông Sơn- thửa 7 tờ bản đồ 22 vòng qua nhà Văn hóa Tổ dân phố Thắng Lợi 2 hết đất nhà ông Kiên- thửa 26 tờ bản đồ 22 gồm cả phía đối diện; Từ đất nhà bà Hằng- thửa 66 tờ bản đồ 22 đến hết lô đất thửa 82 tờ bản đồ 22 (đằng sau đất nhà ông Khiêm).</t>
  </si>
  <si>
    <t xml:space="preserve">Đường số 15: Từ đất nhà ông Hải Xoay- thửa 88 tờ bản đồ 04 đến hết đất nhà Tuấn Ngân- thửa 100 tờ bản đồ 04; bao gồm cả phía đối diện, từ đất nhà ông Màng- thửa 86 tờ bản đồ 04 đến hết đất nhà Biển Liên-thửa 79 tờ bản đồ 04. </t>
  </si>
  <si>
    <t>Các đoạn đường bao xe công nông vào được (đường nhà nước đầu tư)</t>
  </si>
  <si>
    <t>500</t>
  </si>
  <si>
    <t>Đường số 16: Từ Cầu Dốc Vàng- phía xã Mường Báng (nay thuộc địa phận thị trấn) đến hết đất nhà Muôn Hằng bản Tân Phong - thửa 223 tờ bản đồ 137, hết địa phận thị trấn Tủa Chùa (bao gồm cả phía đối diện, không tính địa phận xã Mường Báng)</t>
  </si>
  <si>
    <t>Đoạn 1: Từ Cầu Dốc Vàng- phía Mường Báng cũ (nay thuộc địa phận thị trấn) đến hết đất nhà ông Đoàn Hằng- thửa 58 tờ BĐ 108- giáp với đất nhà ông Thắng Dung- thửa 57 tờ BĐ 108 (bao gồm cả phía đối diện từ nhà ông Biên Xâm- thửa 668 tờ BĐ 97 đến hết đất nhà ông Thân Hương- thửa 24 tờ BĐ 108).</t>
  </si>
  <si>
    <t>Đoạn 2: Từ nhà ông Nguyên- thửa 59  tờ BĐ 108 (cạnh nhà Đoàn Hằng) đến giáp đất mó nước- thửa 487 tờ BĐ 109 (bao gồm cả phía đối diện).</t>
  </si>
  <si>
    <t>Đoạn 4: Từ hết đất trụ sở UBND xã Mường Báng - thửa 107 tờ BĐ 122 đến hết đất nhà Muôn Hằng bản Tân Phong-thửa 223 tờ BĐ 137, hết địa phận thị trấn Tủa Chùa (bao gồm cả phía đối diện, không tính địa phận xã Mường Báng)</t>
  </si>
  <si>
    <t>Đường số 17: Từ nhà ông Giang - thửa 268 tờ bản đồ 121 dọc theo trục đường chính (đường Na Sang) đến hết đất bờ hồ Sông Ún, hết địa phận thị trấn Tủa Chùa (bao gồm cả phía đối diện)</t>
  </si>
  <si>
    <t>Đoạn 1: Từ nhà ông Giang - thửa 268 tờ bản đồ 121 đến hết đất nhà ông Lò Văn Phởi - thửa 559 tờ bản đồ 120 cạnh ngã ba (bao gồm cả phía đối diện)</t>
  </si>
  <si>
    <t>Đoạn 2: Từ nhà ông Phong Liên - thửa 396 tờ BĐ 120 đến hết đất nhà ông Chiến Vấn - thửa 76 tờ BĐ 145 (bao gồm cả phía đối diện)</t>
  </si>
  <si>
    <t>19.3</t>
  </si>
  <si>
    <t>Đoạn 3: Từ hết đất nhà ông Chiến Vấn - thửa 76 tờ BĐ 145 dọc theo trục đường chính (đường Na Sang) đến hết đất bờ hồ sông Ún, hết địa phận thị trấn Tủa Chùa (bao gồm cả phía đối diện)</t>
  </si>
  <si>
    <r>
      <t xml:space="preserve">  Đường rẽ vào xí nghiệp gạch:</t>
    </r>
    <r>
      <rPr>
        <sz val="14"/>
        <rFont val="Times New Roman"/>
        <family val="1"/>
      </rPr>
      <t xml:space="preserve"> Đoạn tiếp giáp đường Võ Nguyên Giáp đến ngã ba tiếp giáp đường 11,5m</t>
    </r>
  </si>
  <si>
    <t>46.1</t>
  </si>
  <si>
    <t>46.2</t>
  </si>
  <si>
    <t>Đoạn tiếp giáp đường Hoàng Công Chất đến cổng Tỉnh đội</t>
  </si>
  <si>
    <t>Đơn giá đất ở đô thị</t>
  </si>
  <si>
    <t>Đơn giá đất SKC</t>
  </si>
  <si>
    <t>So sánh tăng giảm (+,-,%)</t>
  </si>
  <si>
    <t xml:space="preserve">Theo Quyết định số 53/2019/QĐ-UBND ngày 31/12/2019 của UBND tỉnh ban hành bảng giá đất và quy định áp dụng bảng giá đất trên địa bàn tỉnh Điện Biên từ ngày 01/01/2020 đến ngày 31/12/2024 và các Quyết định sửa đổi, bổ sung: Số 30/2021/QĐ-UBND ngày 20/12/2021 của UBND tỉnh </t>
  </si>
  <si>
    <t>Đoạn đường từ biên đất gia đình bà Khiếu Thị Nụ (đối diện bên kia đường là từ biên đất gia đình ông: Nguyễn Đức Dư - TDP 8) đến hết biên đất bà Phí Thị Hồng (đối diện bên kia đường là hết biên đất ngân hàng NN&amp;PTNT)</t>
  </si>
  <si>
    <t xml:space="preserve">Đoạn từ ngầm Thị trấn đến hết ngã tư đường giao nhau với đường 42 m </t>
  </si>
  <si>
    <t>Bỏ đoạn</t>
  </si>
  <si>
    <t>Các đoạn đường trục 42m</t>
  </si>
  <si>
    <t>Đường kè suối Tin Tốc đoạn từ đoạn giao nhau với đường bê tông TDP 7 đến nút giao  đường đi xã Ảng Cang</t>
  </si>
  <si>
    <t xml:space="preserve"> - Đoạn từ ngã ba Hải Quan đến ngã ba tiếp giáp đường Hòa Bình (rẽ vào trụ sở Phường Tân Thanh), đối diện bên kia đường hết đất  số nhà 768 </t>
  </si>
  <si>
    <t xml:space="preserve"> - Đoạn từ ngã ba tiếp giáp đường Hòa Bình (rẽ vào trụ sở Phường Tân Thanh), đến ngã ba rẽ vào đường Trường Chinh, đối diện bên kia đường đến hết SN 650</t>
  </si>
  <si>
    <t xml:space="preserve"> - Đoạn từ ngã ba rẽ vào đường Trường Chinh đối diện bên kia đường tiếp giáp đất SN 650 đến đường Hoàng Cầm, đối diện sang bên kia đường hết đất SN 471</t>
  </si>
  <si>
    <t xml:space="preserve"> - Đoạn từ cầu trắng (giáp phường Mường Thanh) đến đường vào trụ sở công ty Khoáng sản, đối diện bên kia đường đến hết số nhà 35 </t>
  </si>
  <si>
    <t xml:space="preserve"> - Đoạn từ  ngã ba rẽ vào đường Hoàng Cầm,  đối diện sang bên kia đường tiếp giáp đất SN 471 đến hết cây xăng số 1, đối diện sang bên kia đường hết đất số nhà 144</t>
  </si>
  <si>
    <t xml:space="preserve"> - Đoạn từ Cây xăng số 1, đối diện sang bên kia đường tiếp giáp đất số nhà 144 đến hết ký túc xá Lào, phía bên kia đường hết đất số nhà 26 cổng trường Cao đẳng KT-KT. </t>
  </si>
  <si>
    <t xml:space="preserve"> - Đoạn từ ký túc xá Lào, phía bên kia đường tiếp giáp đất số nhà 26 cổng trường Cao đẳng KT-KT đến đầu cầu Huổi Phạ (ngã ba rẽ vào đường Đỗ Nhuận)</t>
  </si>
  <si>
    <t xml:space="preserve"> - Đoạn từ ngã tư tiếp giáp đường Bế Văn Đàn đến ngã ba đường Phạm Văn Đồng</t>
  </si>
  <si>
    <t xml:space="preserve"> - Ngã ba đường Võ Nguyên Giáp (Chi nhánh ngân hàng phát triển) đến hết cầu Mường Thanh </t>
  </si>
  <si>
    <r>
      <t xml:space="preserve">Đường nối đường Hoàng Văn Thái </t>
    </r>
    <r>
      <rPr>
        <sz val="14"/>
        <rFont val="Times New Roman"/>
        <family val="1"/>
      </rPr>
      <t xml:space="preserve"> </t>
    </r>
    <r>
      <rPr>
        <b/>
        <sz val="14"/>
        <rFont val="Times New Roman"/>
        <family val="1"/>
      </rPr>
      <t>đến đường Hoàng Công Chất</t>
    </r>
    <r>
      <rPr>
        <sz val="14"/>
        <rFont val="Times New Roman"/>
        <family val="1"/>
      </rPr>
      <t xml:space="preserve"> (Từ ngã ba Tòa Án tỉnh cũ đến ngã tư rẽ vào cổng phụ Tỉnh đội)</t>
    </r>
  </si>
  <si>
    <t xml:space="preserve"> - Đoạn từ ngã tư rẽ vào cổng phụ Tỉnh Đội  đến hết SN 221,đối diện bên kia đường là rẽ vào ngõ 246, SN 246</t>
  </si>
  <si>
    <t xml:space="preserve"> - Đoạn tiếp giáp SN 221 đối diện bên kia đường  là lối rẽ vào ngõ 246,  đến ngã ba rẽ vào đường Tố Hữu (hết địa phận phường Mường Thanh). Đối diện hết đất số nhà 237</t>
  </si>
  <si>
    <t xml:space="preserve"> - Đoạn từ ngã ba đường Tố Hữu (ết địa phận phường Mường Thanh). Đối diện hết đất số nhà 237 đến ngã tư đường Hoàng Văn Nô (cổng bệnh viện Đa khoa tỉnh)</t>
  </si>
  <si>
    <t xml:space="preserve"> - Đoạn từ ngã tư đường Hoàng Văn Nô (cổng bệnh viện Đa khoa tỉnh) đến hết đất trường Cao đẳng Y tế</t>
  </si>
  <si>
    <t xml:space="preserve"> - Đoạn từ ngã ba tiếp giáp đường Võ Nguyên Giáp (cạnh Karaoke Hoàng Gia) đến ngã tư tiếp giáp đường Phan Tư. </t>
  </si>
  <si>
    <t xml:space="preserve"> - Đoạn từ ngã tư tiếp giáp đường Phan Tư đến giáp đất Trung đoàn 82</t>
  </si>
  <si>
    <r>
      <t xml:space="preserve"> Đường Phan Đình Giót: </t>
    </r>
    <r>
      <rPr>
        <sz val="14"/>
        <rFont val="Times New Roman"/>
        <family val="1"/>
      </rPr>
      <t>Đoạn từ ngã ba tiếp giáp đường Võ Nguyên Giáp (cạnh UBND tỉnh) đến ngã ba tiếp giáp đường Trường Chinh (Sân vận động)</t>
    </r>
  </si>
  <si>
    <t xml:space="preserve"> - Đoạn từ ngã ba tiếp giáp đường Võ Nguyên Giáp (Đối diện cây xăng công an tỉnh) đến ngã ba tiếp giáp đường 7/5</t>
  </si>
  <si>
    <t>22.1</t>
  </si>
  <si>
    <t xml:space="preserve"> - Đoạn từ Ngã ba tiếp giáp đường Võ Nguyên Giáp đến hết đất Chi nhánh Điện Thành Phố, bên kia đường đến ngõ vào phố 15 (phường Him Lam).</t>
  </si>
  <si>
    <t>22.2</t>
  </si>
  <si>
    <t xml:space="preserve"> - Đoạn tiếp giáp đường Nguyễn Bá Lạc đến đường Hoàng Công Chất</t>
  </si>
  <si>
    <t>26.1</t>
  </si>
  <si>
    <t>26.2</t>
  </si>
  <si>
    <t>27.1</t>
  </si>
  <si>
    <t xml:space="preserve"> - Các đường có khổ rộng 10m tiếp giáp đường Trần Đăng Ninh</t>
  </si>
  <si>
    <t>27.2</t>
  </si>
  <si>
    <t>27.3</t>
  </si>
  <si>
    <t>63.1</t>
  </si>
  <si>
    <t>63.2</t>
  </si>
  <si>
    <t>64.1</t>
  </si>
  <si>
    <t>64.2</t>
  </si>
  <si>
    <t>Đoạn từ ngã ba đường Phan Đình Giót đến ngã ba đường cạnh Quảng trường 7/5</t>
  </si>
  <si>
    <t>Đường Lê Thái Tổ</t>
  </si>
  <si>
    <t xml:space="preserve"> - Đường có khổ rộng 20,5m - Khu TĐC Thủy điện Sơn La</t>
  </si>
  <si>
    <t xml:space="preserve"> - Đoạn nối tiếp khu TĐC Thủy điện Sơn La - Phường Noong Bua đến ngã tư giao nhau với đường Tôn Đức Thắng</t>
  </si>
  <si>
    <t>- Đoạn từ ngã tư giao nhau đường Tôn Đức Thắng đến tiếp giáp xã Thanh Xương (hết địa phận thành phố)</t>
  </si>
  <si>
    <t>Đường Tôn Đức Thắng</t>
  </si>
  <si>
    <t xml:space="preserve"> - Đoạn từ ngã ba suối Hồng Líu (Hết địa phận phường Mường Thanh) đến ngã tư tiếp giáp đường Lê Thái Tổ</t>
  </si>
  <si>
    <t xml:space="preserve"> - Đoạn từ Ngã tư tiếp giáp đường Lê Thái Tổ đến tiếp giáp đường Tố Hữu</t>
  </si>
  <si>
    <t>Đường Phạm Văn Đồng</t>
  </si>
  <si>
    <t xml:space="preserve"> -Đoạn từ đầu cầu A1 đến ngã ba tiếp giáp đường Trần Đăng Ninh</t>
  </si>
  <si>
    <r>
      <t xml:space="preserve">Đường Hoàng Anh: </t>
    </r>
    <r>
      <rPr>
        <sz val="14"/>
        <rFont val="Times New Roman"/>
        <family val="1"/>
      </rPr>
      <t xml:space="preserve">Đoạn từ ngã ba chợ C13 đến bờ mương Độc Lập tiếp giáp xã Thanh Nưa </t>
    </r>
  </si>
  <si>
    <t>Đường Nguyễn Trãi</t>
  </si>
  <si>
    <r>
      <t xml:space="preserve">Đường Hoàng Đạo Thúy: </t>
    </r>
    <r>
      <rPr>
        <sz val="14"/>
        <rFont val="Times New Roman"/>
        <family val="1"/>
      </rPr>
      <t>Điểm đầu tiếp giáp đường 07 tháng 5 cạnh Hồ Điều Hòa, bản Phiêng Bua; điểm cuối tiếp giáp ngã ba tiếp giáp đường Tố Hữu</t>
    </r>
  </si>
  <si>
    <t xml:space="preserve">Đường Lưu Viết Thoảng: </t>
  </si>
  <si>
    <t xml:space="preserve"> - Đoạn từ ngã ba đường Võ Nguyên Giáp cạnh cây xăng C4 đến đầu cầu C4 </t>
  </si>
  <si>
    <t>- Đoạn từ tiếp giáp đường 60m đến ngã tư tiếp giáp đường Đỗ Nhuận</t>
  </si>
  <si>
    <t>- Đoạn từ ngã tư tiếp giáp đường Đỗ Nhuận đến ngã ba rẽ vào bản Tà Lèng</t>
  </si>
  <si>
    <t>- Đoạn từ ngã 3 rẽ vào bản Tà Lèng đến hết đất trụ sở Trung tâm Chính trị thành phố, xã Thanh Minh</t>
  </si>
  <si>
    <r>
      <t xml:space="preserve">Đường Hà Văn Nọa: </t>
    </r>
    <r>
      <rPr>
        <sz val="14"/>
        <rFont val="Times New Roman"/>
        <family val="1"/>
      </rPr>
      <t>Đoạn từ ngã ba tiếp giáp đường Nguyễn Hữu Thọ đến ngã ba tiếp giáp đường Dương Quảng Châu</t>
    </r>
  </si>
  <si>
    <t xml:space="preserve"> - Đoạn từ ngã ba tiếp giáp đường Hoàng Công Chất đến bùng binh cạnh UBND phường Noong Bua (có khổ rộng 36m)</t>
  </si>
  <si>
    <t xml:space="preserve"> - Đoạn tiếp giáp bùng binh cạnh UBND phường Noong Bua đến ngã ba tiếp giáp đường Tố Hữu (có khổ rộng 22,5m)</t>
  </si>
  <si>
    <r>
      <t>Đường Trịnh Văn Huyền:</t>
    </r>
    <r>
      <rPr>
        <sz val="14"/>
        <rFont val="Times New Roman"/>
        <family val="1"/>
      </rPr>
      <t xml:space="preserve"> đoạn từ ngã ba tiếp giáp đường Hoàng Công Chất đến ngã ba tiếp giáp đường Hoàng Đạo Thúy</t>
    </r>
  </si>
  <si>
    <r>
      <t xml:space="preserve">Đường Trần Văn Cam: </t>
    </r>
    <r>
      <rPr>
        <sz val="14"/>
        <rFont val="Times New Roman"/>
        <family val="1"/>
      </rPr>
      <t>đoạn từ ngã ba tiếp giáp đường Hoàng Công Chất đến ngã ba tiếp giáp đường Trịnh Văn Huyền</t>
    </r>
  </si>
  <si>
    <r>
      <t xml:space="preserve">Đường Đặng Đình Hồ: </t>
    </r>
    <r>
      <rPr>
        <sz val="14"/>
        <rFont val="Times New Roman"/>
        <family val="1"/>
      </rPr>
      <t>đoạn từ ngã ba tiếp giáp đường Hoàng Đạo Thúy đến ngã ba tiếp giáp cổng Bệnh viện Lao Điện Biên</t>
    </r>
  </si>
  <si>
    <r>
      <t xml:space="preserve">Đường Trần Đình Hùng: </t>
    </r>
    <r>
      <rPr>
        <sz val="14"/>
        <rFont val="Times New Roman"/>
        <family val="1"/>
      </rPr>
      <t>từ ngã ba tiếp giáp đường Tố Hữu đến hết đất thửa 12 (đối diện bên kia đường là thửa 19) tờ bản đồ số 41</t>
    </r>
  </si>
  <si>
    <r>
      <t xml:space="preserve">Đường Lâm Viết Hữu: </t>
    </r>
    <r>
      <rPr>
        <sz val="14"/>
        <rFont val="Times New Roman"/>
        <family val="1"/>
      </rPr>
      <t>từ ngã ba tiếp giáp đường Tố Hữu đến hết đất thửa 29 (đối diện bên kia đường là thửa 38) tờ bản đồ số 41</t>
    </r>
  </si>
  <si>
    <r>
      <t xml:space="preserve">Đường Chu Văn Khâm: </t>
    </r>
    <r>
      <rPr>
        <sz val="14"/>
        <rFont val="Times New Roman"/>
        <family val="1"/>
      </rPr>
      <t>từ ngã ba tiếp giáp đường Tố Hữu đến hết đất nhà văn hóa phố 1 (đối diện bên kia đường là thửa 54) tờ bản đồ số 41</t>
    </r>
  </si>
  <si>
    <r>
      <t xml:space="preserve">Đường Nguyễn Văn Ty: </t>
    </r>
    <r>
      <rPr>
        <sz val="14"/>
        <rFont val="Times New Roman"/>
        <family val="1"/>
      </rPr>
      <t>từ ngã ba tiếp giáp đường Tố Hữu đến hết đất thửa 33 (đối diện bên kia đường là thửa 65) tờ bản đồ 22</t>
    </r>
  </si>
  <si>
    <t xml:space="preserve"> - Đoạn tiếp giáp đường Võ Nguyên Giáp vào đến hết đất Nhà thi đấu đa năng tỉnh Điện Biên (2 bên đường) -Đường 32m</t>
  </si>
  <si>
    <t xml:space="preserve"> - Đoạn tiếp giáp đường 32m đến ngã ba tiếp giáp đường Đặng Đức Song </t>
  </si>
  <si>
    <r>
      <t xml:space="preserve">Đường Lương Thế Vinh: </t>
    </r>
    <r>
      <rPr>
        <sz val="14"/>
        <rFont val="Times New Roman"/>
        <family val="1"/>
      </rPr>
      <t>Đoạn từ ngã ba tiếp giáp đường Võ Nguyên Giáp (cạnh Điện lực thành phố) đến ngã ba tiếp giáp đường Hoàng Văn Nô</t>
    </r>
  </si>
  <si>
    <t>Đường Đỗ Nhuận</t>
  </si>
  <si>
    <t xml:space="preserve"> - Ngã ba tiếp giáp đường Võ Nguyên Giáp đến hết đất khách sạn Him Lam</t>
  </si>
  <si>
    <t>- Đoạn tiếp giáp đất khách sạn Him Lam đến ngã ba tiếp giáp đường Hoàng Văn Nô</t>
  </si>
  <si>
    <r>
      <t xml:space="preserve">Đường Lê Văn Dỵ: </t>
    </r>
    <r>
      <rPr>
        <sz val="14"/>
        <rFont val="Times New Roman"/>
        <family val="1"/>
      </rPr>
      <t>Ngã ba tiếp giáp đường Phùng Văn Khầu đến ngã ba tiếp giáp đường Lương Thế Vinh</t>
    </r>
  </si>
  <si>
    <t>Đường Đặng Đức Song</t>
  </si>
  <si>
    <t>-Đoạn tiếp giáp đường Võ Nguyên Giáp đến hết đất công ty xăng dầu Điện Biên, phía bên kia hết đất số nhà 68 (bao gồm cả đoạn rẽ lên khu nhà ở Tân Thanh)</t>
  </si>
  <si>
    <r>
      <t xml:space="preserve"> - </t>
    </r>
    <r>
      <rPr>
        <sz val="14"/>
        <rFont val="Times New Roman"/>
        <family val="1"/>
      </rPr>
      <t>Đoạn tiếp giáp đất công ty xăng dầu Điện Biên đến tiếp giáp đất Trung đoàn 82</t>
    </r>
  </si>
  <si>
    <t xml:space="preserve"> - Đoạn đường 27m tiếp giáp đường Trường Chinh đến tiếp giáp đường 13m</t>
  </si>
  <si>
    <t xml:space="preserve"> - Đoạn đường 13m: nối tiếp đường 27m (cổng sau trường sư phạm) đến ngã tư tiếp giáp đường Sùng Phái Sinh</t>
  </si>
  <si>
    <t xml:space="preserve">Đường Phan Tư: </t>
  </si>
  <si>
    <t xml:space="preserve"> - Đoạn từ ngã tư tiếp giáp đường Lê Trọng Tấn (chân dốc Ta Pô) đến cổng phụ Trung tâm Thương mại thành phố, đối diện bên kia hết đất số nhà 37D</t>
  </si>
  <si>
    <t xml:space="preserve"> - Đoạn từ cổng phụ trung tâm Thương mại thành phố, đối diện bên kia tiếp giáp đất số nhà 37D đến tiếp giáp khu quy hoạch tổng mặt bằng khu vui chơi giải trí ven sông Nậm Rốm (Huy Toan)</t>
  </si>
  <si>
    <r>
      <t xml:space="preserve">Đường Nguyễn Phú Xuyên Khung: </t>
    </r>
    <r>
      <rPr>
        <sz val="14"/>
        <rFont val="Times New Roman"/>
        <family val="1"/>
      </rPr>
      <t>từ ngã ba tiếp giáp đường Võ Nguyên Giáp đến ngã ba tiếp giáp Nguyễn Văn Bạch</t>
    </r>
  </si>
  <si>
    <r>
      <t xml:space="preserve">Đường Nguyễn Văn Bạch: </t>
    </r>
    <r>
      <rPr>
        <sz val="14"/>
        <rFont val="Times New Roman"/>
        <family val="1"/>
      </rPr>
      <t>từ ngã ba tiếp giáp đường Phan Đình Giót đến ngã ba tiếp giáp đường Hoàng Công Chất</t>
    </r>
  </si>
  <si>
    <t>- Ngã tư tiếp giáp đường 28m đến ngã ba rẽ vào UBND xã Thanh Hưng</t>
  </si>
  <si>
    <t>Đường Dương Quảng Châu</t>
  </si>
  <si>
    <t>- Từ ngã tư tiếp giáp đất Trường Cao đẳng Nghề Điện Biên đến ngã ba tiếp giáp đường bê tông 13,5m Khu tái định cư C13</t>
  </si>
  <si>
    <t>- Từ ngã ba tiếp giáp đường bê tông 13,5m Khu tái định cư C13 đến ngã ba tiếp giáp đường Nguyễn Hữu Thọ</t>
  </si>
  <si>
    <t>Đường Hoàng Khắc Dược</t>
  </si>
  <si>
    <t xml:space="preserve"> - Đoạn ngã ba tiếp giáp đường Nguyễn Hữu Thọ đến cổng Trường mầm non Thanh Trường (đối diện hết đất SN16)</t>
  </si>
  <si>
    <t xml:space="preserve"> - Đoạn tiếp giáp cổng Trường mầm non Thanh Trường (đối diện tiếp giáp đất SN16) đến cầu máng C8</t>
  </si>
  <si>
    <r>
      <t xml:space="preserve">Đường Nguyễn Văn Thuần: </t>
    </r>
    <r>
      <rPr>
        <sz val="14"/>
        <rFont val="Times New Roman"/>
        <family val="1"/>
      </rPr>
      <t>Từ ngã ba tiếp giáp đường Quyết Tiến đến ngã ba tiếp giáp đường Lò Văn Hặc</t>
    </r>
  </si>
  <si>
    <r>
      <t xml:space="preserve">Đường Quyết Tiến: </t>
    </r>
    <r>
      <rPr>
        <sz val="14"/>
        <rFont val="Times New Roman"/>
        <family val="1"/>
      </rPr>
      <t>Ngã ba tiếp giáp đường Nguyễn Hữu Thọ đến tiếp giáp Khu vui chơi Đầm Sen (đất thuê của Công ty Phương Uyên)</t>
    </r>
  </si>
  <si>
    <r>
      <t xml:space="preserve">Đường Lộc Văn Trọng: </t>
    </r>
    <r>
      <rPr>
        <sz val="14"/>
        <rFont val="Times New Roman"/>
        <family val="1"/>
      </rPr>
      <t>Từ ngã ba tiếp giáp đường Bế Văn Đàn đến ngã ba tiếp giáp đường Phạm Văn Đồn</t>
    </r>
    <r>
      <rPr>
        <b/>
        <sz val="14"/>
        <rFont val="Times New Roman"/>
        <family val="1"/>
      </rPr>
      <t>g</t>
    </r>
  </si>
  <si>
    <r>
      <t xml:space="preserve">- </t>
    </r>
    <r>
      <rPr>
        <sz val="14"/>
        <rFont val="Times New Roman"/>
        <family val="1"/>
      </rPr>
      <t xml:space="preserve"> Đoạn từ cầu Mường Thanh đến tiếp giáp đất Cảng hàng không</t>
    </r>
    <r>
      <rPr>
        <b/>
        <sz val="14"/>
        <rFont val="Times New Roman"/>
        <family val="1"/>
      </rPr>
      <t xml:space="preserve"> </t>
    </r>
    <r>
      <rPr>
        <sz val="14"/>
        <rFont val="Times New Roman"/>
        <family val="1"/>
      </rPr>
      <t>(đường vào xã Thanh Luông cũ)</t>
    </r>
  </si>
  <si>
    <r>
      <t xml:space="preserve"> Đường Tôn Thất Tùng: </t>
    </r>
    <r>
      <rPr>
        <sz val="14"/>
        <rFont val="Times New Roman"/>
        <family val="1"/>
      </rPr>
      <t>Đoạn từ ngã ba tiếp giáp đường Hoàng Văn Thái đến cổng Tỉnh đội</t>
    </r>
  </si>
  <si>
    <r>
      <t xml:space="preserve"> Đường Lò Văn Hặc: </t>
    </r>
    <r>
      <rPr>
        <sz val="14"/>
        <rFont val="Times New Roman"/>
        <family val="1"/>
      </rPr>
      <t>đoạn từ ngã ba tiếp giáp đường Trần Đăng Ninh đến ngã ba tiếp giáp đường Nguyễn Hữu Thọ</t>
    </r>
  </si>
  <si>
    <r>
      <t xml:space="preserve"> Đường cạnh quảng trường 7/5: </t>
    </r>
    <r>
      <rPr>
        <sz val="14"/>
        <rFont val="Times New Roman"/>
        <family val="1"/>
      </rPr>
      <t>Đoạn từ ngã ba tiếp giáp đường Võ Nguyên Giáp đến ngã ba tiếp giáp đường Phan Đình Giót (trừ đoạn Khu Trung tâm thương mại và Nhà ở thương mại thành phố Điện Biên Phủ)</t>
    </r>
  </si>
  <si>
    <r>
      <t xml:space="preserve">  Đường Trần Can:</t>
    </r>
    <r>
      <rPr>
        <sz val="14"/>
        <rFont val="Times New Roman"/>
        <family val="1"/>
      </rPr>
      <t xml:space="preserve"> ngã ba tiếp giáp đường Võ Nguyên Giáp (cạnh Quảng trường 7/5) đến ngã ba tiếp giáp đường Trường Chinh (chợ Trung tâm III)</t>
    </r>
  </si>
  <si>
    <r>
      <t xml:space="preserve">  Đường Hòa Bình: </t>
    </r>
    <r>
      <rPr>
        <sz val="14"/>
        <rFont val="Times New Roman"/>
        <family val="1"/>
      </rPr>
      <t>Đoạn tiếp giáp đường Võ Nguyên Giáp (qua trụ sở phường Tân Thanh) đến ngã ba tiếp giáp đường Võ Nguyên Giáp (đối diện cổng Sở Nông nghiệp và Phát triển nông thôn)</t>
    </r>
  </si>
  <si>
    <r>
      <t xml:space="preserve">Đường vành đai 3 (Asean): </t>
    </r>
    <r>
      <rPr>
        <sz val="14"/>
        <rFont val="Times New Roman"/>
        <family val="1"/>
      </rPr>
      <t>Đoạn từ ngã ba tiếp giáp đường Hoàng Văn Nô đến hết địa phận thành phố</t>
    </r>
  </si>
  <si>
    <r>
      <t xml:space="preserve"> Đường cạnh Nhà thi đấu đa năng tỉnh Điện Biên: </t>
    </r>
    <r>
      <rPr>
        <sz val="14"/>
        <rFont val="Times New Roman"/>
        <family val="1"/>
      </rPr>
      <t xml:space="preserve">đoạn đường 24,5m </t>
    </r>
  </si>
  <si>
    <t>70.1</t>
  </si>
  <si>
    <t>70.2</t>
  </si>
  <si>
    <t>Đơn giá đất ở</t>
  </si>
  <si>
    <t>5.3</t>
  </si>
  <si>
    <t>13.2a</t>
  </si>
  <si>
    <t>Từ cầu hồ điều hoà lô C3-LK37B đến hết biên đất lô C3-HT59 đối diện là hết biên đất lô C3-HT60</t>
  </si>
  <si>
    <t>13.2b</t>
  </si>
  <si>
    <t>Từ lô C3-HT62 đến giáp đường 42m</t>
  </si>
  <si>
    <t xml:space="preserve"> - Đoạn từ ngã ba tiếp giáp đường Trần Đăng Ninh  đến tiếp giáp đất cây xăng số 15 (cây xăng Quân đội) đối diện sang bên kia đường là cổng vào Cảng hàng không</t>
  </si>
  <si>
    <t xml:space="preserve"> - Đoạn từ cây xăng số 15 (cây xăng Quân đội), phía bên kia đường là cổng vào Cảng hàng không đến ngã ba tiếp giáp đường Hoàng Khắc Dược</t>
  </si>
  <si>
    <r>
      <rPr>
        <b/>
        <sz val="14"/>
        <rFont val="Times New Roman"/>
        <family val="1"/>
      </rPr>
      <t>Đường Trần Văn Thọ:</t>
    </r>
    <r>
      <rPr>
        <sz val="14"/>
        <rFont val="Times New Roman"/>
        <family val="1"/>
      </rPr>
      <t xml:space="preserve"> Đoạn từ ngã ba tiếp giáp đường Võ Nguyên Giáp (cạnh Công An tỉnh) đến hết đất Bộ chỉ huy biên phòng tỉnh</t>
    </r>
  </si>
  <si>
    <r>
      <t xml:space="preserve"> Đường 13/3: </t>
    </r>
    <r>
      <rPr>
        <sz val="14"/>
        <rFont val="Times New Roman"/>
        <family val="1"/>
      </rPr>
      <t>Đoạn từ đất Bộ chỉ huy biên phòng tỉnh, đối diện là hết đất số nhà 01 đến tiếp giáp đất di tích đề kháng Him Lam, đối diện hết đất số nhà 34</t>
    </r>
  </si>
  <si>
    <t xml:space="preserve"> - Các đường tiếp giáp với đường Võ Nguyên Giáp vào các khu dân cư có khổ rộng từ 7m trở  lên thuộc Đoạn từ ngã ba Hải Quan đến ngã ba tiếp giáp đường Hòa Bình (rẽ vào trụ sở Phường Tân Thanh), đối diện bên kia đường hết đất  số nhà 768 là đường nhựa hoặc bê tông (100m đầu, tính trọn thửa)</t>
  </si>
  <si>
    <t xml:space="preserve"> - Các đường tiếp giáp với đường Võ Nguyên Giáp vào các khu dân cư có khổ rộng từ 7m trở  lên thuộc Đoạn từ ngã ba Hải Quan đến ngã ba tiếp giáp đường Hòa Bình (rẽ vào trụ sở Phường Tân Thanh), đối diện bên kia đường hết đất  số nhà 768 là đường nhựa hoặc bê tông (từ mét thứ 101 trở đi, tính trọn thửa)</t>
  </si>
  <si>
    <t xml:space="preserve"> - Các đường tiếp giáp với đường Võ Nguyên Giáp vào các khu dân cư có khổ rộng &lt; 7m  thuộc Đoạn từ ngã ba Hải Quan đến ngã ba tiếp giáp đường Hòa Bình (rẽ vào trụ sở Phường Tân Thanh), đối diện bên kia đường hết đất  số nhà 768 là đường nhựa hoặc bê tông (100m đầu, tính trọn thửa)</t>
  </si>
  <si>
    <t xml:space="preserve"> - Các đường tiếp giáp với đường Võ Nguyên Giáp vào các khu dân cư có khổ rộng &lt; 7m  thuộc Đoạn từ ngã ba tiếp giáp đường Hòa Bình (rẽ vào trụ sở Phường Tân Thanh), đến ngã ba rẽ vào đường Trường Chinh, đối diện bên kia đường đến hết SN 650 là đường nhựa hoặc bê tông (từ mét thứ 101 trở đi, tính trọn thửa)</t>
  </si>
  <si>
    <t xml:space="preserve"> - Các đường tiếp giáp với đường Võ Nguyên Giáp vào các khu dân cư có khổ rộng từ 7m trở  lên thuộc Đoạn từ ngã ba tiếp giáp đường Hòa Bình (rẽ vào trụ sở Phường Tân Thanh), đến ngã ba rẽ vào đường Trường Chinh, đối diện bên kia đường đến hết SN 650 là đường nhựa hoặc bê tông (100m đầu, tính trọn thửa)</t>
  </si>
  <si>
    <t xml:space="preserve"> - Các đường tiếp giáp với đường Võ Nguyên Giáp vào các khu dân cư có khổ rộng từ 7m trở  lên thuộc Đoạn từ ngã ba tiếp giáp đường Hòa Bình (rẽ vào trụ sở Phường Tân Thanh), đến ngã ba rẽ vào đường Trường Chinh, đối diện bên kia đường đến hết SN 650 là đường nhựa hoặc bê tông (từ mét thứ 101 trở đi, tính trọn thửa)</t>
  </si>
  <si>
    <t xml:space="preserve"> - Các đường tiếp giáp với đường Võ Nguyên Giáp vào các khu dân cư có khổ rộng &lt; 7m thuộc Đoạn từ ngã ba tiếp giáp đường Hòa Bình (rẽ vào trụ sở Phường Tân Thanh), đến ngã ba rẽ vào đường Trường Chinh, đối diện bên kia đường đến hết SN 650 là đường nhựa hoặc bê tông (100m đầu, tính trọn thửa)</t>
  </si>
  <si>
    <t xml:space="preserve"> - Các đường tiếp giáp với đường Võ Nguyên Giáp vào các khu dân cư có khổ rộng &lt; 7m  thuộc Đoạn từ ngã ba Hải Quan đến ngã ba tiếp giáp đường Hòa Bình (rẽ vào trụ sở Phường Tân Thanh), đối diện bên kia đường hết đất  số nhà 768 là đường nhựa hoặc bê tông (từ mét thứ 101 trở đi, tính trọn thửa)</t>
  </si>
  <si>
    <t xml:space="preserve"> - Các đường tiếp giáp với đường Võ Nguyên Giáp vào các khu dân cư có khổ rộng từ 7m trở  lên thuộc Đoạn từ ngã ba rẽ vào đường Trường Chinh đối diện bên kia đường tiếp giáp đất SN 650 đến đường Hoàng Cầm, đối diện sang bên kia đường hết đất SN 471 là đường nhựa hoặc bê tông (100m đầu, tính trọn thửa)</t>
  </si>
  <si>
    <t xml:space="preserve"> - Các đường tiếp giáp với đường Võ Nguyên Giáp vào các khu dân cư có khổ rộng từ 7m trở  lên thuộc Đoạn từ ngã ba rẽ vào đường Trường Chinh đối diện bên kia đường tiếp giáp đất SN 650 đến đường Hoàng Cầm, đối diện sang bên kia đường hết đất SN 471 là đường nhựa hoặc bê tông (từ mét thứ 101 trở đi, tính trọn thửa)</t>
  </si>
  <si>
    <t xml:space="preserve"> - Các đường tiếp giáp với đường Võ Nguyên Giáp vào các khu dân cư có khổ rộng &lt; 7m thuộc Đoạn từ ngã ba rẽ vào đường Trường Chinh đối diện bên kia đường tiếp giáp đất SN 650 đến đường Hoàng Cầm, đối diện sang bên kia đường hết đất SN 471 là đường nhựa hoặc bê tông (100m đầu, tính trọn thửa)</t>
  </si>
  <si>
    <t xml:space="preserve"> - Các đường tiếp giáp với đường Võ Nguyên Giáp vào các khu dân cư có khổ rộng &lt; 7m  thuộc Đoạn từ ngã ba rẽ vào đường Trường Chinh đối diện bên kia đường tiếp giáp đất SN 650 đến đường Hoàng Cầm, đối diện sang bên kia đường hết đất SN 471 là đường nhựa hoặc bê tông (từ mét thứ 101 trở đi, tính trọn thửa)</t>
  </si>
  <si>
    <t xml:space="preserve"> - Các đường tiếp giáp với đường Võ Nguyên Giáp vào các khu dân cư có khổ rộng từ 7m trở  lên thuộc Đoạn từ ngã ba Hải quan đến hết cầu trắng là đường nhựa hoặc bê tông (100m đầu, tính trọn thửa)</t>
  </si>
  <si>
    <t xml:space="preserve"> - Các đường tiếp giáp với đường Võ Nguyên Giáp vào các khu dân cư có khổ rộng từ 7m trở  lên thuộc Đoạn từ ngã ba Hải quan đến hết cầu trắng là đường nhựa hoặc bê tông (từ mét thứ 101 trở đi, tính trọn thửa)</t>
  </si>
  <si>
    <t xml:space="preserve"> - Các đường tiếp giáp với đường Võ Nguyên Giáp vào các khu dân cư có khổ rộng &lt; 7m  thuộc Đoạn từ ngã ba Hải quan đến hết cầu trắng là đường nhựa hoặc bê tông (100m đầu, tính trọn thửa)</t>
  </si>
  <si>
    <t xml:space="preserve"> - Các đường tiếp giáp với đường Võ Nguyên Giáp vào các khu dân cư có khổ rộng &lt; 7m  thuộc Đoạn từ ngã ba Hải quan đến hết cầu trắng là đường nhựa hoặc bê tông (từ mét thứ 101 trở đi, tính trọn thửa)</t>
  </si>
  <si>
    <t xml:space="preserve"> - Các đường tiếp giáp với đường Võ Nguyên Giáp vào các khu dân cư có khổ rộng từ 7m trở  lên thuộc Đoạn từ cầu trắng (giáp phường Mường Thanh) đến đường vào trụ sở công ty Khoáng sản, đối diện bên kia đường đến hết số nhà 35  là đường nhựa hoặc bê tông (100m đầu, tính trọn thửa)</t>
  </si>
  <si>
    <t xml:space="preserve"> - Các đường tiếp giáp với đường Võ Nguyên Giáp vào các khu dân cư có khổ rộng từ 7m trở  lên thuộc Đoạn từ cầu trắng (giáp phường Mường Thanh) đến đường vào trụ sở công ty Khoáng sản, đối diện bên kia đường đến hết số nhà 35  là đường nhựa hoặc bê tông (từ mét thứ 101 trở đi, tính trọn thửa)</t>
  </si>
  <si>
    <t xml:space="preserve"> - Các đường tiếp giáp với đường Võ Nguyên Giáp vào các khu dân cư có khổ rộng &lt; 7m  thuộc Đoạn từ cầu trắng (giáp phường Mường Thanh) đến đường vào trụ sở công ty Khoáng sản, đối diện bên kia đường đến hết số nhà 35  là đường nhựa hoặc bê tông (100m đầu, tính trọn thửa)</t>
  </si>
  <si>
    <t xml:space="preserve"> - Các đường tiếp giáp với đường Võ Nguyên Giáp vào các khu dân cư có khổ rộng &lt; 7m  thuộc Đoạn từ cầu trắng (giáp phường Mường Thanh) đến đường vào trụ sở công ty Khoáng sản, đối diện bên kia đường đến hết số nhà 35  là đường nhựa hoặc bê tông (từ mét thứ 101 trở đi, tính trọn thửa)</t>
  </si>
  <si>
    <t xml:space="preserve"> - Các đường tiếp giáp với đường Võ Nguyên Giáp vào các khu dân cư có khổ rộng từ 7m trở  lên thuộc Đoạn còn lại đến hết địa phận Thành phố (đến cầu bản Ten) là đường nhựa hoặc bê tông (100m đầu, tính trọn thửa)</t>
  </si>
  <si>
    <t xml:space="preserve"> - Các đường tiếp giáp với đường Võ Nguyên Giáp vào các khu dân cư có khổ rộng từ 7m trở  lên thuộc Đoạn còn lại đến hết địa phận Thành phố (đến cầu bản Ten) là đường nhựa hoặc bê tông (từ mét thứ 101 trở đi, tính trọn thửa)</t>
  </si>
  <si>
    <t xml:space="preserve"> - Các đường tiếp giáp với đường Võ Nguyên Giáp vào các khu dân cư có khổ rộng &lt; 7m  thuộc Đoạn còn lại đến hết địa phận Thành phố (đến cầu bản Ten) là đường nhựa hoặc bê tông (100m đầu, tính trọn thửa)</t>
  </si>
  <si>
    <t xml:space="preserve"> - Các đường tiếp giáp với đường Võ Nguyên Giáp vào các khu dân cư có khổ rộng &lt; 7m  thuộc Đoạn còn lại đến hết địa phận Thành phố (đến cầu bản Ten) là đường nhựa hoặc bê tông (từ mét thứ 101 trở đi, tính trọn thửa)</t>
  </si>
  <si>
    <t xml:space="preserve"> - Các đường tiếp giáp với đường Võ Nguyên Giáp vào các khu dân cư có khổ rộng từ 7m trở  lên thuộc Đoạn từ  ngã ba rẽ vào đường Hoàng Cầm,  đối diện sang bên kia đường tiếp giáp đất SN 471 đến hết cây xăng số 1, đối diện sang bên kia đường hết đất số nhà 144  là đường nhựa hoặc bê tông (100m đầu, tính trọn thửa)</t>
  </si>
  <si>
    <t xml:space="preserve"> - Các đường tiếp giáp với đường Võ Nguyên Giáp vào các khu dân cư có khổ rộng từ 7m trở  lên thuộc Đoạn từ  ngã ba rẽ vào đường Hoàng Cầm,  đối diện sang bên kia đường tiếp giáp đất SN 471 đến hết cây xăng số 1, đối diện sang bên kia đường hết đất số nhà 144  là đường nhựa hoặc bê tông (từ mét thứ 101 trở đi, tính trọn thửa)</t>
  </si>
  <si>
    <t xml:space="preserve"> - Các đường tiếp giáp với đường Võ Nguyên Giáp vào các khu dân cư có khổ rộng &lt; 7m  thuộc Đoạn từ  ngã ba rẽ vào đường Hoàng Cầm,  đối diện sang bên kia đường tiếp giáp đất SN 471 đến hết cây xăng số 1, đối diện sang bên kia đường hết đất số nhà 144  là đường nhựa hoặc bê tông (100m đầu, tính trọn thửa)</t>
  </si>
  <si>
    <t xml:space="preserve"> - Các đường tiếp giáp với đường Võ Nguyên Giáp vào các khu dân cư có khổ rộng &lt; 7m  thuộc Đoạn từ  ngã ba rẽ vào đường Hoàng Cầm,  đối diện sang bên kia đường tiếp giáp đất SN 471 đến hết cây xăng số 1, đối diện sang bên kia đường hết đất số nhà 144  là đường nhựa hoặc bê tông (từ mét thứ 101 trở đi, tính trọn thửa)</t>
  </si>
  <si>
    <t xml:space="preserve"> - Các đường tiếp giáp với đường Võ Nguyên Giáp vào các khu dân cư có khổ rộng từ 7m trở  lên thuộc Đoạn từ Cây xăng số 1, đối diện sang bên kia đường tiếp giáp đất số nhà 144 đến hết ký túc xá Lào, phía bên kia đường hết đất số nhà 26 cổng trường Cao đẳng KT-KT là đường nhựa hoặc bê tông (100m đầu, tính trọn thửa)</t>
  </si>
  <si>
    <t xml:space="preserve"> - Các đường tiếp giáp với đường Võ Nguyên Giáp vào các khu dân cư có khổ rộng từ 7m trở  lên thuộc Đoạn từ Cây xăng số 1, đối diện sang bên kia đường tiếp giáp đất số nhà 144 đến hết ký túc xá Lào, phía bên kia đường hết đất số nhà 26 cổng trường Cao đẳng KT-KT là đường nhựa hoặc bê tông (từ mét thứ 101 trở đi, tính trọn thửa)</t>
  </si>
  <si>
    <t xml:space="preserve"> - Các đường tiếp giáp với đường Võ Nguyên Giáp vào các khu dân cư có khổ rộng &lt; 7m  thuộc Đoạn từ Cây xăng số 1, đối diện sang bên kia đường tiếp giáp đất số nhà 144 đến hết ký túc xá Lào, phía bên kia đường hết đất số nhà 26 cổng trường Cao đẳng KT-KT là đường nhựa hoặc bê tông (100m đầu, tính trọn thửa)</t>
  </si>
  <si>
    <t xml:space="preserve"> - Các đường tiếp giáp với đường Võ Nguyên Giáp vào các khu dân cư có khổ rộng &lt; 7m thuộc Đoạn từ Cây xăng số 1, đối diện sang bên kia đường tiếp giáp đất số nhà 144 đến hết ký túc xá Lào, phía bên kia đường hết đất số nhà 26 cổng trường Cao đẳng KT-KT là đường nhựa hoặc bê tông (từ mét thứ 101 trở đi, tính trọn thửa)</t>
  </si>
  <si>
    <t xml:space="preserve"> - Các đường tiếp giáp với đường Võ Nguyên Giáp vào các khu dân cư có khổ rộng từ 7m trở  lên thuộc Đoạn từ ký túc xá Lào, phía bên kia đường tiếp giáp đất số nhà 26 cổng trường Cao đẳng KT-KT đến đầu cầu Huổi Phạ (ngã ba rẽ vào đường Đỗ Nhuận)  là đường nhựa hoặc bê tông (100m đầu, tính trọn thửa)</t>
  </si>
  <si>
    <t xml:space="preserve"> - Các đường tiếp giáp với đường Võ Nguyên Giáp vào các khu dân cư có khổ rộng từ 7m trở  lên thuộc Đoạn từ ký túc xá Lào, phía bên kia đường tiếp giáp đất số nhà 26 cổng trường Cao đẳng KT-KT đến đầu cầu Huổi Phạ (ngã ba rẽ vào đường Đỗ Nhuận)  là đường nhựa hoặc bê tông (từ mét thứ 101 trở đi, tính trọn thửa)</t>
  </si>
  <si>
    <t xml:space="preserve"> - Các đường tiếp giáp với đường Võ Nguyên Giáp vào các khu dân cư có khổ rộng &lt; 7m  thuộc Đoạn từ ký túc xá Lào, phía bên kia đường tiếp giáp đất số nhà 26 cổng trường Cao đẳng KT-KT đến đầu cầu Huổi Phạ (ngã ba rẽ vào đường Đỗ Nhuận)  là đường nhựa hoặc bê tông (100m đầu, tính trọn thửa)</t>
  </si>
  <si>
    <t xml:space="preserve"> - Các đường tiếp giáp với đường Võ Nguyên Giáp vào các khu dân cư có khổ rộng &lt; 7m  thuộc Đoạn từ ký túc xá Lào, phía bên kia đường tiếp giáp đất số nhà 26 cổng trường Cao đẳng KT-KT đến đầu cầu Huổi Phạ (ngã ba rẽ vào đường Đỗ Nhuận)  là đường nhựa hoặc bê tông (từ mét thứ 101 trở đi, tính trọn thửa)</t>
  </si>
  <si>
    <t xml:space="preserve"> Các đường còn lại trong các tổ dân phố</t>
  </si>
  <si>
    <t xml:space="preserve"> Các đường còn lại trong các bản</t>
  </si>
  <si>
    <r>
      <t xml:space="preserve">Đường Tố Hữu: </t>
    </r>
    <r>
      <rPr>
        <sz val="14"/>
        <rFont val="Times New Roman"/>
        <family val="1"/>
      </rPr>
      <t>đoạn tiếp giáp đường Hoàng Công Chất, cạnh trụ sở  Sở Tài Nguyên - Môi trường đến tiếp giáp đường Tôn Đức Thắng</t>
    </r>
  </si>
  <si>
    <t>Đường Nguyễn Ngọc Bảo</t>
  </si>
  <si>
    <t>58.1</t>
  </si>
  <si>
    <t>58.2</t>
  </si>
  <si>
    <t>65.1</t>
  </si>
  <si>
    <t>65.2</t>
  </si>
  <si>
    <t>70.3</t>
  </si>
  <si>
    <t>70.4</t>
  </si>
  <si>
    <t>Vị trí còn lại</t>
  </si>
  <si>
    <t>Quyết định 53, hệ số k= 1,1</t>
  </si>
  <si>
    <t>Đoạn từ tiếp giáp đất đội cao su thị trấn, bao gồm cả hai bên mặt đường đến hết SN 02 TDP 8 (Đất nhà Khai Súm), đối diện bên kia đường hết SN 31 TDP 7 (Đất nhà Hải Nguyên).</t>
  </si>
  <si>
    <t>Sửa đổi tên theo Quyết định 30/2021/QD-UBND, hệ số k=1,1</t>
  </si>
  <si>
    <t>Đoạn từ tiếp giáp SN 31 TDP 7 (Đất nhà Hải Nguyên), đối diện bên kia đường SN 38 TDP 7 (Đất nhà bà Phé) đến hết SN 02 TDP 7 đất cửa hàng Linh Nam 2 đối diện bên kia đường hết SN 15 TDP 15 (Đất nhà ông Thực).</t>
  </si>
  <si>
    <t>Đoạn từ SN 56 TDP 5 (nhà Mai Triệu) đối diện bên kia đường từ SN 13 tổ 5 (Đất nhà Son Lô) đến hết SN 01 TDP 5 (Đất nhà Luyến Lượng), bên kia đường hết SN 32 TDP 5 (Đất nhà Cương Diệp).</t>
  </si>
  <si>
    <t>Đoạn từ SN 30 TDP 5 (Đất nhà Liên Vụ), đối diện bên kia đường từ đất bến xe đến hết SN 04 TDP 5 (Đất nhà ông Kiều Tuyết), đối diện bên kia đường hết đất chợ.</t>
  </si>
  <si>
    <t>Đoạn từ đất cửa hàng viễn thông quân đội Viettel, đối diện bên kia đường SN 04 TDP 1 nhà Bích Hưng đến SN 28 TDP 9 (Đất nhà Bình Sinh), đối diện bên kia đường hết SN 21 TDP 4 (Đất nhà Kim Tảng).</t>
  </si>
  <si>
    <t>PP tinh giá trị hợp đồng thu thập được (4 hợp đồng)</t>
  </si>
  <si>
    <t>Đoạn từ SN 23 TDP 4 (Đất nhà ông Thanh Hoàng), đối diện bên kia đường là đường rẽ vành đai 7m, đến hết SN 83 TDP 3 (Đất nhà ông, bà Duy Huyền), đối diện bên kia đường hết SN 22 TDP 2 (Đất nhà bà Tuyết )</t>
  </si>
  <si>
    <t>Đoạn từ SN 85 TDP 3 (Đất nhà bà Đức), đối diện bên kia đường SN 70 TDP 3 (Nhà Tâm Mão cũ) đến hết đất bản Na Pheo 1(bao gồm cả hai bên mặt đường)</t>
  </si>
  <si>
    <t>Sửa đổi tên theo Quyết định 30/2021/QD-UBND, PP tính giá trị trung bình hợp đồng thu thập (8 hợp đồng)</t>
  </si>
  <si>
    <t>Đoạn từ SN 04 TDP 14 (Đất nhà ông Liên Vân) đối diện bên kia đường đất nhà Ngân - Thìn đến hết SN 116 TDP 14 (Đất nhà Vinh Nhung) đối diện bên kia đường hết đất ông Lễ Sản,</t>
  </si>
  <si>
    <t>Đoạn tiếp giáp SN 116 TDP 14 (Đất nhà Vinh Nhung), bên kia đường tiếp giáp đất ông Lễ Sản đến hết mốc lộ giới Thị trấn Mường Chà.</t>
  </si>
  <si>
    <t>Quyết định 53, hệ số k = 1,1</t>
  </si>
  <si>
    <t>Đoạn từ SN 05 TDP 6 (Đất nhà bà Thúy - Tráng) đến hết SN 43 TDP 9 đất nhà Kiên Bình</t>
  </si>
  <si>
    <t>Đoạn từ SN 72 TDP 7 (Đất nhà bà Hạnh Quyển) đến hết SN 32 TDP 8 (Đất hộ ông Mộc - Thể).</t>
  </si>
  <si>
    <t>Đoạn từ SN 02 TDP 10 (Đất nhà ông Khu), đối diện bên kia đường từ SN 04 TDP 9 (Đất nhà bà Loan) đến hết SN 32 TDP 10 (Đất nhà Oánh Hiền), đối diện đến bên kia đường hết SN 46 TDP 9 Đất nhà ông Hiền Thu).</t>
  </si>
  <si>
    <t xml:space="preserve">Sửa đổi tên theo Quyết định 30/2021/QD-UBND, PP tính giá trị trung bình hợp đồng thu thập </t>
  </si>
  <si>
    <t>Đoạn từ SN 23 TDP 1 (Đất nhà Khánh - Phiên) đến hết đất nhà Dương Vân</t>
  </si>
  <si>
    <t>Đoạn từ cầu bê tông đến hết SN 77 TDP 12 (Đất hộ ông Thắng - Ngọc) (Bao gồm hai bên đường)</t>
  </si>
  <si>
    <t>Đoạn từ cầu bê tông (tà luy dương) hết SN 56 TDP 4 (Đất nhà Vi Phương).</t>
  </si>
  <si>
    <t>Quyết định 53, hệ số k=1,1</t>
  </si>
  <si>
    <t>Đoạn từ SN 01 TDP 13 (Đất nhà ông Kiếm), đối diện bên kia đường từ SN 02 TDP 13 (Nhà ông Minh) đến hết tổ dân phố số 13.</t>
  </si>
  <si>
    <t>Cụm dân cư Km số 5 tổ dân phố số 13</t>
  </si>
  <si>
    <t>Đoạn từ SN 21 TDP 11 (Nhà Sinh - Mai) đến đất nhà Sán - Chung</t>
  </si>
  <si>
    <t>Giá đất</t>
  </si>
  <si>
    <r>
      <rPr>
        <b/>
        <sz val="14"/>
        <rFont val="Times New Roman"/>
        <family val="1"/>
      </rPr>
      <t>Đường cạnh Bảo tàng:</t>
    </r>
    <r>
      <rPr>
        <sz val="14"/>
        <rFont val="Times New Roman"/>
        <family val="1"/>
      </rPr>
      <t xml:space="preserve"> Đoạn từ ngã ba tiếp giáp đường Võ Nguyên Giáp đến ngã ba tiếp giáp đường Mường Then</t>
    </r>
  </si>
  <si>
    <t>12.1</t>
  </si>
  <si>
    <t>12.2</t>
  </si>
  <si>
    <r>
      <t xml:space="preserve"> Quốc lộ 12: </t>
    </r>
    <r>
      <rPr>
        <sz val="14"/>
        <rFont val="Times New Roman"/>
        <family val="1"/>
      </rPr>
      <t>Đoạn từ ngã ba rẽ vào UBND xã Thanh Hưng đến Ngã tư C4</t>
    </r>
  </si>
  <si>
    <t>23.1</t>
  </si>
  <si>
    <t>23.2</t>
  </si>
  <si>
    <t>23.3</t>
  </si>
  <si>
    <t>26.3</t>
  </si>
  <si>
    <t>26.4</t>
  </si>
  <si>
    <r>
      <rPr>
        <b/>
        <sz val="14"/>
        <rFont val="Times New Roman"/>
        <family val="1"/>
      </rPr>
      <t>Đường Mường Then:</t>
    </r>
    <r>
      <rPr>
        <sz val="14"/>
        <rFont val="Times New Roman"/>
        <family val="1"/>
      </rPr>
      <t xml:space="preserve">  Đoạn từ ngã ba tiếp giáp đường Phạm Văn Đồng đến ngã ba tiếp giáp đường Lưu Viết Thoảng</t>
    </r>
  </si>
  <si>
    <t>34.1</t>
  </si>
  <si>
    <t>34.2</t>
  </si>
  <si>
    <t>35.1</t>
  </si>
  <si>
    <t>35.2</t>
  </si>
  <si>
    <t>35.3</t>
  </si>
  <si>
    <t>35.4</t>
  </si>
  <si>
    <r>
      <t xml:space="preserve">Đường Phùng Văn Khầu: </t>
    </r>
    <r>
      <rPr>
        <sz val="14"/>
        <rFont val="Times New Roman"/>
        <family val="1"/>
      </rPr>
      <t>từ ngã ba tiếp giáp đường Võ Nguyên Giáp đến ngã ba tiếp giáp đường Lương Thế Vinh</t>
    </r>
  </si>
  <si>
    <t>49.1</t>
  </si>
  <si>
    <t>49.2</t>
  </si>
  <si>
    <t>51.1</t>
  </si>
  <si>
    <t>51.2</t>
  </si>
  <si>
    <t>52.1</t>
  </si>
  <si>
    <t>52.2</t>
  </si>
  <si>
    <t>53.1</t>
  </si>
  <si>
    <t>53.2</t>
  </si>
  <si>
    <t>56.1</t>
  </si>
  <si>
    <t>56.2</t>
  </si>
  <si>
    <t>57.1</t>
  </si>
  <si>
    <t>57.2</t>
  </si>
  <si>
    <t>58.3</t>
  </si>
  <si>
    <t>58.4</t>
  </si>
  <si>
    <t>59.1</t>
  </si>
  <si>
    <t>59.2</t>
  </si>
  <si>
    <t>63.3</t>
  </si>
  <si>
    <t>63.4</t>
  </si>
  <si>
    <t>63.5</t>
  </si>
  <si>
    <t>63.6</t>
  </si>
  <si>
    <t>63.7</t>
  </si>
  <si>
    <t>63.8</t>
  </si>
  <si>
    <t>63.9</t>
  </si>
  <si>
    <t>63.10</t>
  </si>
  <si>
    <t>63.11</t>
  </si>
  <si>
    <t>63.12</t>
  </si>
  <si>
    <t>63.13</t>
  </si>
  <si>
    <t>63.14</t>
  </si>
  <si>
    <t>63.15</t>
  </si>
  <si>
    <t>63.16</t>
  </si>
  <si>
    <t>63.17</t>
  </si>
  <si>
    <t>63.18</t>
  </si>
  <si>
    <t>63.19</t>
  </si>
  <si>
    <t>63.20</t>
  </si>
  <si>
    <t>63.21</t>
  </si>
  <si>
    <t>63.22</t>
  </si>
  <si>
    <t>63.23</t>
  </si>
  <si>
    <t>63.24</t>
  </si>
  <si>
    <t>63.25</t>
  </si>
  <si>
    <t>63.26</t>
  </si>
  <si>
    <t>63.27</t>
  </si>
  <si>
    <t>63.28</t>
  </si>
  <si>
    <t>63.29</t>
  </si>
  <si>
    <t>63.30</t>
  </si>
  <si>
    <t>63.31</t>
  </si>
  <si>
    <t>63.32</t>
  </si>
  <si>
    <t>63.33</t>
  </si>
  <si>
    <t>63.34</t>
  </si>
  <si>
    <t>63.35</t>
  </si>
  <si>
    <t>63.36</t>
  </si>
  <si>
    <t>65.3</t>
  </si>
  <si>
    <t>65.4</t>
  </si>
  <si>
    <t>65.5</t>
  </si>
  <si>
    <t>65.6</t>
  </si>
  <si>
    <t>65.7</t>
  </si>
  <si>
    <t>65.8</t>
  </si>
  <si>
    <t>65.9</t>
  </si>
  <si>
    <t>65.10</t>
  </si>
  <si>
    <t>65.11</t>
  </si>
  <si>
    <t>65.12</t>
  </si>
  <si>
    <t>65.13</t>
  </si>
  <si>
    <t>65.14</t>
  </si>
  <si>
    <t>66.1</t>
  </si>
  <si>
    <t>66.2</t>
  </si>
  <si>
    <t>66.3</t>
  </si>
  <si>
    <t>66.4</t>
  </si>
  <si>
    <t>66.5</t>
  </si>
  <si>
    <t>66.6</t>
  </si>
  <si>
    <t>66.7</t>
  </si>
  <si>
    <t>66.8</t>
  </si>
  <si>
    <t>66.9</t>
  </si>
  <si>
    <t>66.10</t>
  </si>
  <si>
    <t>66.11</t>
  </si>
  <si>
    <t>66.12</t>
  </si>
  <si>
    <t>70.5</t>
  </si>
  <si>
    <t>Các đoạn đường từ trung tâm hành chính huyện đến tiếp giáp đường 42m</t>
  </si>
  <si>
    <t>Đoạn 2: Đoạn từ đất Công an huyện (đối diện bên kia đường từ đất gia đình ông Dưỡng Trang thửa đất số 189 tờ bản đồ số 13) đến hết đất gia đình ông Thùy Chung thửa đất số 113 tờ bản đồ số 14 (đối diện bên kia đường hết đất nhà nghỉ Đồng Tâm thửa đất số 72 tờ bản đồ 14)</t>
  </si>
  <si>
    <t>Đoạn 3: Đoạn tiếp giáp hết đất nhà nghỉ Đồng Tâm thửa đất số 37 tờ bản đồ số 14 (đối diện bên kia đường từ đất gia đình ông Trinh Tuấn thửa đất số 46 tờ bản đồ số 14) đến hết đất phòng Kinh tế- Hạ tầng thửa 8 tờ BĐ 20 (đối diện bên kia đường đến hết đất Trường THPT huyện Tủa Chùa)</t>
  </si>
  <si>
    <t>Đoạn 4: Từ tiếp giáp hết đất phòng Kinh tế- Hạ Tầng thửa 8 tờ BĐ 20 đến hết cầu Dốc Vàng - phía thị trấn; bao gồm cả phía đối diện từ đất bà Hoàng Thị Thanh thửa đất số 11 tờ bản đồ 20 đến đầu cầu Dốc Vàng - phía Trạm Biến áp.</t>
  </si>
  <si>
    <t xml:space="preserve"> Đoạn 5: Từ giáp đất suối giáp đất nhà bà Nhuần Điềm-thửa 5 tờ BĐ 12 đến hết đất Trung tâm giáo dục nghề nghiệp - Trung tâm GDTX- thửa 11 tờ bản đồ 01;  bao gồm cả phía đối diện từ đất nhà bà Xuyên- thửa 55 tờ bản đồ 8 (giáp suối) đến hết đất nhà ông Vì A Mạnh- thửa 43 tờ bản đồ 02.</t>
  </si>
  <si>
    <t>Đoạn 6: Từ hết đất nhà ông Vì A Mạnh- thửa 43 tờ bản đồ 02 đến hết đất ranh giới của Thị trấn và xã Sính Phình; bao gồm cả phía đối diện (trục đường chính).</t>
  </si>
  <si>
    <t xml:space="preserve"> Đoạn 7: Các thửa đất tiếp giáp sau Chợ thị trấn. </t>
  </si>
  <si>
    <t>Đoạn 1: Từ đất nhà bà Hương- thửa 15 tờ bản đồ 13 đến tiếp giáp đất Hạt Kiểm Lâm- thửa 33 tờ bản đồ 13 (phía nhà Sáu Nhàn- thửa 196 tờ bản đồ 13).</t>
  </si>
  <si>
    <t>Đoạn 2: Từ đất của Hạt Kiểm lâm- thửa 33 tờ bản đồ 13 đến hết đất nhà ông Kế Liên- thửa 47 tờ bản đồ 15. Bao gồm cả phía đối diện</t>
  </si>
  <si>
    <t>Đoạn 1: Từ đất nhà ông Cảnh- Hạnh đến hết đất trường Mầm non Thị trấn- thửa 25 tờ bản đồ 8; bao gồm cả phía đối diện từ đất nhà ông Trung- thửa 102 tờ bản đồ 8 đến hết đất nhà bà Lê Thị Hạnh- thửa 26 tờ bản đồ 8</t>
  </si>
  <si>
    <r>
      <t xml:space="preserve"> Đoạn nối từ đường ASEAN đến cầu BTCT khu TĐC Khe Chít - </t>
    </r>
    <r>
      <rPr>
        <sz val="14"/>
        <rFont val="Times New Roman"/>
        <family val="1"/>
      </rPr>
      <t>(Đường 17,5m Khe Chít II)</t>
    </r>
  </si>
  <si>
    <t>Đường số 17: Từ nhà ông Minh An - thửa 268 tờ bản đồ 121 dọc theo trục đường chính (đường Na Sang) đến hết đất bờ hồ Sông Ún, hết địa phận thị trấn Tủa Chùa (bao gồm cả phía đối diện)</t>
  </si>
  <si>
    <t>2.3</t>
  </si>
  <si>
    <t>Đường Nguyễn Bá Lạc</t>
  </si>
  <si>
    <t>Đường Hoàng Văn Nô</t>
  </si>
  <si>
    <t>Đường Hoàng Cầm</t>
  </si>
  <si>
    <t>Đường Tạ Quốc Luật</t>
  </si>
  <si>
    <t>Đường Hoàng Đăng Vinh</t>
  </si>
  <si>
    <t>(Ban hành kèm theo Nghị quyết số:        /2024/NQ-HĐND ngày      tháng 12 năm 2024 
của Hội đồng nhân dân tỉnh Điện Biên)</t>
  </si>
  <si>
    <t>Khu quy hoạch dân cư phía Bắc</t>
  </si>
  <si>
    <t>Đường kè suối Tin Tốc đoạn từ nút giao nhau với Trung tâm hành chính huyện đến đoạn giao nhau với Đường bê tông TDP 7</t>
  </si>
  <si>
    <t xml:space="preserve">Đường rẽ sang Chiềng Chung: Đoạn từ nhà Kính Quý đến hết đất nhà ông Thái Dung </t>
  </si>
  <si>
    <t>Đường số 3: Từ đất nhà ông Hưng Liên - thửa 4 tờ bản đồ 13 đến hết đất nhà ông Hiến Nhạn - thửa 48 tờ bản đồ 9; bao gồm cả phía đối diện từ đất nhà ông Du đến hết đất nhà ông Ân Tuyết- thửa 128 tờ bản đồ 9.</t>
  </si>
  <si>
    <t>Đoạn 1: Từ Cầu Dốc Vàng đến hết đất nhà ông Đoàn Hằng- thửa 58 tờ BĐ 108- giáp với đất nhà ông Thắng Dung- thửa 57 tờ BĐ 108 (bao gồm cả phía đối diện từ nhà ông Biên Xâm- thửa 668 tờ BĐ 97 đến hết đất nhà ông Thân Hương- thửa 24 tờ BĐ 108).</t>
  </si>
  <si>
    <t>Đường ĐC17: Đoạn từ nút giao từ đường ĐC14 đến ngã tư giao với đường ĐC12 và đường ĐC16 (đằng sau Trung tâm bồi dưỡng chính trị và trước cổng chính của Trung tâm GDNN-GDTX).</t>
  </si>
  <si>
    <t>Đường Sùng Phái Sinh: Đoạn từ nút giao Ngõ 42 đường Võ Nguyên Giáp (từ nhà ông Điêu Văn Khịn thửa số 62 tờ bản đồ 22) đi qua Ngõ 62 đường Võ Nguyên Giáp, đến nút giao với đường Võ Nguyên Giáp</t>
  </si>
  <si>
    <t>Đường Sùng Phái Sinh: Đoạn từ nút giao Ngõ 42 đường Võ Nguyên Giáp (từ đất Bưu điện Chi Luông) đến nút giao với đường CL13A (hết đất giáp nhà khách UBND thị xã)</t>
  </si>
  <si>
    <t>Đường Sùng Phái Sinh: Đoạn từ đất nhà bà Trần Thị Hương (thửa số 89 tờ bản đồ 12 đối diện đất ông Lò Văn Óp thửa số 88 tờ bản đồ 12) đến nút giao với đường Võ Nguyên Giáp</t>
  </si>
  <si>
    <t>Ngõ 110 đường Võ Nguyên Giáp đoạn từ nút giao đường Võ Nguyên Giáp đến nút giao với đường mới 2</t>
  </si>
  <si>
    <t>Ngõ 74: Đoạn từ nút giao đường đường Võ Nguyên Giáp đến nút giao với đường Sùng Phái Sinh</t>
  </si>
  <si>
    <t>Đoạn Võ Nguyên Giáp từ đất Nhà sinh hoạt cộng đồng tổ 4 (thửa số 68 tờ bản đồ 42) đến hết Bưu cục bưu điện Nậm Cản (thửa số 34 tờ bản đồ 47)</t>
  </si>
  <si>
    <t>Đoạn Võ Nguyên Giáp từ Bưu điện Nậm Cản (thửa số 34 tờ bản đồ 47) đến hết đất nhà bà Lò Thị Ăn (thửa số 176 tờ bản đồ 46)</t>
  </si>
  <si>
    <t>Đường Chu Văn An: Đoạn từ ngã ba nút giao với đường Võ Nguyên Giáp đến nút giao với đường NC3</t>
  </si>
  <si>
    <t>Đường Chu Văn An: Đoạn từ đất nhà bà Lò Phương Thoa ( thửa số 2 tờ bản đồ 46) đối diện đất Công an thị xã đến nút giao với Ngõ 270 đường Võ Nguyên Giáp hết đất nhà Xoan (Vĩnh) (thửa số 153 tờ bản đồ 46) đối diện hết đất trường THPT thị xã</t>
  </si>
  <si>
    <t>Ngõ 196 Đường Võ Nguyên Giáp: Đoạn từ nút giao đường Chu Văn An đến nút giao đường Võ Nguyên Giáp (hết đất Bưu Điện Nậm Cản)</t>
  </si>
  <si>
    <t>Ngách 02 Ngõ195 Đường Võ Nguyên Giáp: Đoạn từ nút giao với Ngõ 195 Đường Võ Nguyên Giáp (từ đất nhà bà Trần Thị Nhị thửa số 56 tờ bản đồ 47) nút giao với Ngõ 257 Đường Võ Nguyên Giáp (hết đất nhà Văn hóa phường Na Lay)</t>
  </si>
  <si>
    <t>ngõ 257 đường võ nguyên giáp: Từ nút giao với đường Võ Nguyên Giáp đến nút giao với đường Phan Đình Giót</t>
  </si>
  <si>
    <t>Đường NC13: Đoạn từ nút giao với đường Võ Nguyên Giáp đến ngã tư giao nhau với đường Chu Văn An, Ngõ 270 Đường Võ Nguyên Giáp</t>
  </si>
  <si>
    <t>Ngõ 282 Đường Võ Nguyên Giáp: Đoạn từ nút giao với gõ 270 Đường Võ Nguyên Giáp (từ đất UBND phường Na Lay) đến hết đất nhà ông Lường Văn Phương (thửa số 48 tờ bản đồ 49)</t>
  </si>
  <si>
    <t>Đường Phan Đình Giót: Đoạn từ đất nhà ông Lò Văn Von (thửa số 56 tờ bản đồ 49) đến hết đất nhà ông Lù Văn Phìn (thửa số 4 tờ bản đồ 44)</t>
  </si>
  <si>
    <t>Đường NC17: Đoạn từ nút giao với đường Tỉnh lộ 142 vào suối Nậm Cản (đối diện đường NC16)</t>
  </si>
  <si>
    <t>Đường Chu Văn An: Đoạn từ nút giao với Ngõ 270 Đường Võ Nguyên Giáp đến hết đất Nhà máy nước</t>
  </si>
  <si>
    <t>Ngõ 275 Đường Võ Nguyên Giáp: Đoạn từ nút giao với ngõ 257 đường võ nguyên giáp (từ đất nhà bà Tòng Thị Bạn thửa số 91 tờ bản đồ 50) đến nút giao với đường Võ Nguyên Giáp</t>
  </si>
  <si>
    <t>Đường Phan Đình Giót đoạn từ nút giao với đường Võ nguyên Giáp (đầu chợ Nậm Cản) đến nút giao với đường Võ Nguyễn Giáp (đầu cầu Nậm Cản)</t>
  </si>
  <si>
    <t xml:space="preserve"> - Đoạn từ đường rẽ vào trường PTDT nội trú tỉnh, đối diện bên kia đường từ tiếp giáp đất SN 69 đến ngã tư đường Hoàng Công Chất (Trường tiểu học Hà Nội - Điện Biên Phủ)</t>
  </si>
  <si>
    <r>
      <rPr>
        <b/>
        <sz val="14"/>
        <rFont val="Times New Roman"/>
        <family val="1"/>
      </rPr>
      <t>Đường Hoàng Văn Thái:</t>
    </r>
    <r>
      <rPr>
        <sz val="14"/>
        <rFont val="Times New Roman"/>
        <family val="1"/>
      </rPr>
      <t xml:space="preserve"> Đoạn từ tiếp giáp đường Võ Nguyên Giáp (Ngã tư nghĩa trang A1) đến ngã tư tiếp giáp đường Hoàng Công Chất (Trường tiểu học Hà Nội - Điện Biên Phủ)</t>
    </r>
  </si>
  <si>
    <t xml:space="preserve"> - Đoạn từ ngã tư tiếp giáp đường Võ Nguyên Giáp đến ngã tư Trường tiểu học Hà Nội - Điện Biên Phủ</t>
  </si>
  <si>
    <t xml:space="preserve"> - Đoạn từ ngã tư Trường tiểu học Hà Nội - Điện Biên Phủ đến ngã tư rẽ vào cổng phụ tỉnh đội, đối diện bên kia đường đến hết đất số nhà 155</t>
  </si>
  <si>
    <t xml:space="preserve"> - Đoạn tiếp giáp đất Chi nhánh Điện Thành Phố, bên kia đường tiếp giáp ngõ vào phố 15 (phường Him Lam) đến ngã tư đường Nguyễn Bá Lạc</t>
  </si>
  <si>
    <t>- Đoạn từ ngã tư tiếp giáp đường Hoàng Công Chất (cổng Bệnh viện tỉnh) đến hết đất trụ sở Cục Thuế tỉnh Điện Biên (Tiếp giáp đường 60m)</t>
  </si>
  <si>
    <r>
      <t xml:space="preserve">Đường Bùi Đình Cư: </t>
    </r>
    <r>
      <rPr>
        <sz val="14"/>
        <rFont val="Times New Roman"/>
        <family val="1"/>
      </rPr>
      <t>ngã ba tiếp giáp đường Nguyễn Văn Ty (cạnh Trường Tiểu học Noong Bua) đến ngã ba tiếp giáp đường Trịnh Văn Huyền</t>
    </r>
  </si>
  <si>
    <t>- Đoạn từ tiếp giáp đường Bế Văn Đàn đến ngã tư tiếp giáp đường 28m khu Tái định cư số III (Cảng hàng không Điện Biên Phủ)</t>
  </si>
  <si>
    <t xml:space="preserve"> - Đoạn từ ngã ba tiếp giáp đường Tạ Quốc Luật (Sở chỉ huy tập đoàn cứ điểm Điện Biên Phủ) đến ngã ba tiếp giáp khu Tái định cư số III (Cảng hàng không Điện Biên Phủ) </t>
  </si>
  <si>
    <t>- Đoạn từ ngã ba tiếp giáp đường 13,5m (thửa 01 lô TDC20) đến hết thửa 07 lô TDC28- khu Tái định cư số III (Cảng hàng không Điện Biên Phủ)</t>
  </si>
  <si>
    <t xml:space="preserve"> - Đoạn từ ngã ba tiếp giáp đường Quyết Tiến đến ngã ba tiếp giáp đất Trụ sở Liên minh Hợp tác xã</t>
  </si>
  <si>
    <t xml:space="preserve"> - Đoạn từ ngã ba tiếp giáp đất Trụ sở Liên minh Hợp tác xã đến ngã tư tiếp giáp đường 13,5m Khu tái định cư mở rộng</t>
  </si>
  <si>
    <t xml:space="preserve"> - Các đường có khổ rộng 10m tiếp giáp đường đường Nguyễn Hữu Thọ, phường Thanh Bình</t>
  </si>
  <si>
    <r>
      <t xml:space="preserve">PHỤ LỤC II: BẢNG GIÁ ĐẤT SẢN XUẤT KINH DOANH PHI NÔNG NGHIỆP KHÔNG PHẢI LÀ ĐẤT THƯƠNG MẠI, DỊCH VỤ TẠI ĐÔ THỊ </t>
    </r>
    <r>
      <rPr>
        <b/>
        <i/>
        <sz val="14"/>
        <rFont val="Times New Roman"/>
        <family val="1"/>
      </rPr>
      <t>(bao gồm đất khu công nghiệp, cụm công nghiệp; đất cơ sở sản xuất phi nông nghiệp; đất sử dụng cho hoạt động khoáng sản)</t>
    </r>
    <r>
      <rPr>
        <b/>
        <sz val="14"/>
        <rFont val="Times New Roman"/>
        <family val="1"/>
      </rPr>
      <t xml:space="preserve"> </t>
    </r>
  </si>
  <si>
    <t xml:space="preserve">1. THÀNH PHỐ ĐIỆN BIÊN PHỦ </t>
  </si>
  <si>
    <t>2. HUYỆN ĐIỆN BIÊN ĐÔNG</t>
  </si>
  <si>
    <t>3. HUYỆN MƯỜNG ẢNG</t>
  </si>
  <si>
    <t>4. HUYỆN TUẦN GIÁO</t>
  </si>
  <si>
    <t>5. HUYỆN MƯỜNG CHÀ</t>
  </si>
  <si>
    <t>6. HUYỆN TỦA CHÙA</t>
  </si>
  <si>
    <t>7. THỊ XÃ MƯỜNG LAY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</si>
</sst>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 _₫_-;\-* #,##0.00\ _₫_-;_-* &quot;-&quot;??\ _₫_-;_-@_-"/>
    <numFmt numFmtId="165" formatCode="_(* #,##0_);_(* \(#,##0\);_(* &quot;-&quot;??_);_(@_)"/>
    <numFmt numFmtId="166" formatCode="#,##0;[Red]#,##0"/>
    <numFmt numFmtId="167" formatCode="_(* #,##0.0_);_(* \(#,##0.0\);_(* &quot;-&quot;??_);_(@_)"/>
    <numFmt numFmtId="168" formatCode="0.0"/>
  </numFmts>
  <fonts count="23" x14ac:knownFonts="1">
    <font>
      <sz val="11"/>
      <color theme="1"/>
      <name val="Calibri"/>
      <family val="2"/>
      <scheme val="minor"/>
    </font>
    <font>
      <sz val="10"/>
      <name val="Arial"/>
      <family val="2"/>
    </font>
    <font>
      <b/>
      <sz val="14"/>
      <name val="Times New Roman"/>
      <family val="1"/>
    </font>
    <font>
      <sz val="14"/>
      <name val="Times New Roman"/>
      <family val="1"/>
    </font>
    <font>
      <sz val="12"/>
      <name val="Times New Roman"/>
      <family val="1"/>
    </font>
    <font>
      <b/>
      <sz val="12"/>
      <name val="Times New Roman"/>
      <family val="1"/>
    </font>
    <font>
      <i/>
      <sz val="12"/>
      <name val="Times New Roman"/>
      <family val="1"/>
    </font>
    <font>
      <i/>
      <vertAlign val="superscript"/>
      <sz val="12"/>
      <name val="Times New Roman"/>
      <family val="1"/>
    </font>
    <font>
      <sz val="11"/>
      <color theme="1"/>
      <name val="Calibri"/>
      <family val="2"/>
      <scheme val="minor"/>
    </font>
    <font>
      <i/>
      <sz val="14"/>
      <name val="Times New Roman"/>
      <family val="1"/>
    </font>
    <font>
      <sz val="14"/>
      <name val=".VnTime"/>
      <family val="2"/>
    </font>
    <font>
      <i/>
      <sz val="13"/>
      <name val="Times New Roman"/>
      <family val="1"/>
    </font>
    <font>
      <b/>
      <sz val="13"/>
      <name val="Times New Roman"/>
      <family val="1"/>
    </font>
    <font>
      <sz val="13"/>
      <name val="Times New Roman"/>
      <family val="1"/>
    </font>
    <font>
      <b/>
      <i/>
      <sz val="12"/>
      <name val="Times New Roman"/>
      <family val="1"/>
    </font>
    <font>
      <sz val="14"/>
      <color theme="1"/>
      <name val="Times New Roman"/>
      <family val="2"/>
      <charset val="163"/>
    </font>
    <font>
      <b/>
      <sz val="9"/>
      <color indexed="81"/>
      <name val="Tahoma"/>
      <family val="2"/>
    </font>
    <font>
      <sz val="9"/>
      <color indexed="81"/>
      <name val="Tahoma"/>
      <family val="2"/>
    </font>
    <font>
      <sz val="10"/>
      <name val="Times New Roman"/>
      <family val="1"/>
    </font>
    <font>
      <sz val="12"/>
      <name val="Calibri"/>
      <family val="2"/>
      <scheme val="minor"/>
    </font>
    <font>
      <sz val="14"/>
      <color theme="0"/>
      <name val="Times New Roman"/>
      <family val="1"/>
    </font>
    <font>
      <b/>
      <i/>
      <sz val="14"/>
      <name val="Times New Roman"/>
      <family val="1"/>
    </font>
    <font>
      <sz val="14"/>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1" fillId="0" borderId="0"/>
    <xf numFmtId="43" fontId="1" fillId="0" borderId="0" applyFont="0" applyFill="0" applyBorder="0" applyAlignment="0" applyProtection="0"/>
    <xf numFmtId="164" fontId="8" fillId="0" borderId="0" applyFont="0" applyFill="0" applyBorder="0" applyAlignment="0" applyProtection="0"/>
    <xf numFmtId="0" fontId="1" fillId="0" borderId="0"/>
    <xf numFmtId="0" fontId="10" fillId="0" borderId="0"/>
    <xf numFmtId="0" fontId="10" fillId="0" borderId="0"/>
    <xf numFmtId="9" fontId="1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0" fontId="15" fillId="0" borderId="0"/>
    <xf numFmtId="0" fontId="10" fillId="0" borderId="0"/>
    <xf numFmtId="9" fontId="4" fillId="0" borderId="0" applyFont="0" applyFill="0" applyBorder="0" applyAlignment="0" applyProtection="0"/>
  </cellStyleXfs>
  <cellXfs count="288">
    <xf numFmtId="0" fontId="0" fillId="0" borderId="0" xfId="0"/>
    <xf numFmtId="165" fontId="3" fillId="0" borderId="8" xfId="1" applyNumberFormat="1"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0" xfId="0" applyFont="1" applyFill="1"/>
    <xf numFmtId="0" fontId="4" fillId="0" borderId="0" xfId="0" applyFont="1"/>
    <xf numFmtId="0" fontId="4" fillId="0" borderId="0" xfId="4" applyFont="1" applyAlignment="1">
      <alignment horizontal="center" vertical="center" wrapText="1"/>
    </xf>
    <xf numFmtId="0" fontId="5" fillId="0" borderId="0" xfId="4" applyFont="1" applyAlignment="1">
      <alignment horizontal="center" vertical="center" wrapText="1"/>
    </xf>
    <xf numFmtId="0" fontId="6" fillId="0" borderId="1" xfId="4" applyFont="1" applyBorder="1" applyAlignment="1">
      <alignment horizontal="center" vertical="center" wrapText="1"/>
    </xf>
    <xf numFmtId="0" fontId="5" fillId="0" borderId="8" xfId="4" applyFont="1" applyBorder="1" applyAlignment="1">
      <alignment horizontal="center" vertical="center" wrapText="1"/>
    </xf>
    <xf numFmtId="0" fontId="5" fillId="0" borderId="8" xfId="4" applyFont="1" applyBorder="1" applyAlignment="1">
      <alignment horizontal="left" vertical="center" wrapText="1"/>
    </xf>
    <xf numFmtId="165" fontId="4" fillId="0" borderId="8" xfId="5" applyNumberFormat="1" applyFont="1" applyFill="1" applyBorder="1" applyAlignment="1">
      <alignment vertical="center" wrapText="1"/>
    </xf>
    <xf numFmtId="0" fontId="4" fillId="0" borderId="8" xfId="4" applyFont="1" applyBorder="1" applyAlignment="1">
      <alignment vertical="center" wrapText="1"/>
    </xf>
    <xf numFmtId="43" fontId="4" fillId="0" borderId="8" xfId="5" applyFont="1" applyFill="1" applyBorder="1" applyAlignment="1">
      <alignment vertical="center" wrapText="1"/>
    </xf>
    <xf numFmtId="0" fontId="4" fillId="0" borderId="8" xfId="4" quotePrefix="1" applyFont="1" applyBorder="1" applyAlignment="1">
      <alignment horizontal="left" vertical="center" wrapText="1"/>
    </xf>
    <xf numFmtId="0" fontId="4" fillId="0" borderId="8" xfId="4" applyFont="1" applyBorder="1" applyAlignment="1">
      <alignment horizontal="left" vertical="center" wrapText="1"/>
    </xf>
    <xf numFmtId="3" fontId="4" fillId="0" borderId="8" xfId="5" applyNumberFormat="1" applyFont="1" applyFill="1" applyBorder="1" applyAlignment="1">
      <alignment vertical="center" wrapText="1"/>
    </xf>
    <xf numFmtId="3" fontId="4" fillId="0" borderId="8" xfId="4" applyNumberFormat="1" applyFont="1" applyBorder="1" applyAlignment="1">
      <alignment horizontal="center" vertical="center" wrapText="1"/>
    </xf>
    <xf numFmtId="1" fontId="4" fillId="0" borderId="8" xfId="4" applyNumberFormat="1" applyFont="1" applyBorder="1" applyAlignment="1">
      <alignment horizontal="center" vertical="center" wrapText="1"/>
    </xf>
    <xf numFmtId="3" fontId="6" fillId="0" borderId="8" xfId="5" applyNumberFormat="1" applyFont="1" applyFill="1" applyBorder="1" applyAlignment="1">
      <alignment horizontal="center" vertical="center" wrapText="1"/>
    </xf>
    <xf numFmtId="0" fontId="4" fillId="0" borderId="0" xfId="4" applyFont="1" applyAlignment="1">
      <alignment vertical="center" wrapText="1"/>
    </xf>
    <xf numFmtId="165" fontId="4" fillId="0" borderId="0" xfId="5" applyNumberFormat="1" applyFont="1" applyFill="1" applyBorder="1" applyAlignment="1">
      <alignment vertical="center" wrapText="1"/>
    </xf>
    <xf numFmtId="43" fontId="4" fillId="0" borderId="0" xfId="5" applyFont="1" applyFill="1" applyBorder="1" applyAlignment="1">
      <alignment vertical="center" wrapText="1"/>
    </xf>
    <xf numFmtId="165" fontId="4" fillId="0" borderId="0" xfId="5" applyNumberFormat="1" applyFont="1" applyFill="1" applyAlignment="1">
      <alignment vertical="center" wrapText="1"/>
    </xf>
    <xf numFmtId="43" fontId="4" fillId="0" borderId="0" xfId="5" applyFont="1" applyFill="1" applyAlignment="1">
      <alignment vertical="center" wrapText="1"/>
    </xf>
    <xf numFmtId="165" fontId="3" fillId="0" borderId="8" xfId="6" applyNumberFormat="1" applyFont="1" applyFill="1" applyBorder="1" applyAlignment="1">
      <alignment horizontal="center" vertical="center"/>
    </xf>
    <xf numFmtId="0" fontId="2" fillId="2" borderId="0" xfId="0" applyFont="1" applyFill="1" applyAlignment="1">
      <alignment vertical="center"/>
    </xf>
    <xf numFmtId="0" fontId="3" fillId="2" borderId="0" xfId="8" applyFont="1" applyFill="1"/>
    <xf numFmtId="0" fontId="2" fillId="2" borderId="8" xfId="8" applyFont="1" applyFill="1" applyBorder="1" applyAlignment="1">
      <alignment horizontal="center" vertical="center"/>
    </xf>
    <xf numFmtId="0" fontId="2" fillId="2" borderId="8" xfId="0" applyFont="1" applyFill="1" applyBorder="1" applyAlignment="1">
      <alignment horizontal="center" vertical="center"/>
    </xf>
    <xf numFmtId="0" fontId="2" fillId="2" borderId="8" xfId="0" applyFont="1" applyFill="1" applyBorder="1" applyAlignment="1">
      <alignment horizontal="left" vertical="center"/>
    </xf>
    <xf numFmtId="0" fontId="2" fillId="2" borderId="8" xfId="0" applyFont="1" applyFill="1" applyBorder="1" applyAlignment="1">
      <alignment horizontal="right" vertical="center"/>
    </xf>
    <xf numFmtId="0" fontId="3" fillId="2" borderId="0" xfId="0" applyFont="1" applyFill="1" applyAlignment="1">
      <alignment horizontal="center" vertical="center"/>
    </xf>
    <xf numFmtId="0" fontId="3" fillId="2" borderId="8" xfId="0" applyFont="1" applyFill="1" applyBorder="1" applyAlignment="1">
      <alignment vertical="center" wrapText="1"/>
    </xf>
    <xf numFmtId="166" fontId="3" fillId="2" borderId="8" xfId="2" applyNumberFormat="1" applyFont="1" applyFill="1" applyBorder="1" applyAlignment="1">
      <alignment horizontal="right" vertical="center"/>
    </xf>
    <xf numFmtId="3" fontId="3" fillId="2" borderId="8" xfId="2" applyNumberFormat="1" applyFont="1" applyFill="1" applyBorder="1" applyAlignment="1">
      <alignment horizontal="right" vertical="center"/>
    </xf>
    <xf numFmtId="0" fontId="3" fillId="2" borderId="8" xfId="0" applyFont="1" applyFill="1" applyBorder="1" applyAlignment="1">
      <alignment horizontal="right" vertical="center"/>
    </xf>
    <xf numFmtId="0" fontId="2" fillId="2" borderId="8" xfId="0" applyFont="1" applyFill="1" applyBorder="1" applyAlignment="1">
      <alignment vertical="center"/>
    </xf>
    <xf numFmtId="0" fontId="3" fillId="2" borderId="0" xfId="0" applyFont="1" applyFill="1" applyAlignment="1">
      <alignment vertical="center"/>
    </xf>
    <xf numFmtId="0" fontId="2" fillId="2" borderId="8" xfId="0" applyFont="1" applyFill="1" applyBorder="1" applyAlignment="1">
      <alignment horizontal="left" vertical="center" wrapText="1"/>
    </xf>
    <xf numFmtId="0" fontId="3" fillId="2" borderId="0" xfId="0" applyFont="1" applyFill="1" applyAlignment="1">
      <alignment horizontal="right" vertical="center"/>
    </xf>
    <xf numFmtId="0" fontId="3" fillId="0" borderId="0" xfId="0" applyFont="1" applyAlignment="1">
      <alignment horizontal="center" vertical="center"/>
    </xf>
    <xf numFmtId="165" fontId="4" fillId="0" borderId="0" xfId="1" applyNumberFormat="1" applyFont="1" applyFill="1" applyBorder="1" applyAlignment="1">
      <alignment horizontal="center" vertical="center" wrapText="1"/>
    </xf>
    <xf numFmtId="165" fontId="4" fillId="0" borderId="0" xfId="1" applyNumberFormat="1" applyFont="1" applyFill="1" applyBorder="1" applyAlignment="1">
      <alignment horizontal="center" wrapText="1"/>
    </xf>
    <xf numFmtId="165" fontId="5" fillId="0" borderId="0" xfId="1" applyNumberFormat="1" applyFont="1" applyFill="1" applyBorder="1" applyAlignment="1">
      <alignment horizontal="center" vertical="center" wrapText="1"/>
    </xf>
    <xf numFmtId="165" fontId="3" fillId="0" borderId="8" xfId="0" applyNumberFormat="1" applyFont="1" applyBorder="1" applyAlignment="1">
      <alignment horizontal="center" vertical="center" wrapText="1"/>
    </xf>
    <xf numFmtId="3" fontId="4" fillId="0" borderId="8" xfId="5" applyNumberFormat="1" applyFont="1" applyFill="1" applyBorder="1" applyAlignment="1">
      <alignment horizontal="center" vertical="center" wrapText="1"/>
    </xf>
    <xf numFmtId="0" fontId="6" fillId="0" borderId="0" xfId="4" applyFont="1" applyAlignment="1">
      <alignment horizontal="center" vertical="center" wrapText="1"/>
    </xf>
    <xf numFmtId="0" fontId="2" fillId="2" borderId="8" xfId="0" applyFont="1" applyFill="1" applyBorder="1" applyAlignment="1">
      <alignment horizontal="center" vertical="center" wrapText="1"/>
    </xf>
    <xf numFmtId="0" fontId="2" fillId="2" borderId="8" xfId="8" applyFont="1" applyFill="1" applyBorder="1" applyAlignment="1">
      <alignment horizontal="center" vertical="center" wrapText="1"/>
    </xf>
    <xf numFmtId="0" fontId="2" fillId="2" borderId="0" xfId="8" applyFont="1" applyFill="1" applyAlignment="1">
      <alignment horizontal="left" vertical="center"/>
    </xf>
    <xf numFmtId="0" fontId="2" fillId="2" borderId="0" xfId="8" applyFont="1" applyFill="1" applyAlignment="1">
      <alignment horizontal="right" vertical="center"/>
    </xf>
    <xf numFmtId="3" fontId="3" fillId="2" borderId="8" xfId="0" applyNumberFormat="1" applyFont="1" applyFill="1" applyBorder="1" applyAlignment="1">
      <alignment horizontal="right" vertical="center" wrapText="1"/>
    </xf>
    <xf numFmtId="165" fontId="3" fillId="2" borderId="8" xfId="0" applyNumberFormat="1" applyFont="1" applyFill="1" applyBorder="1" applyAlignment="1">
      <alignment horizontal="center" vertical="center" wrapText="1"/>
    </xf>
    <xf numFmtId="0" fontId="3" fillId="2" borderId="8" xfId="0" applyFont="1" applyFill="1" applyBorder="1"/>
    <xf numFmtId="165" fontId="3" fillId="2" borderId="8" xfId="1" applyNumberFormat="1" applyFont="1" applyFill="1" applyBorder="1" applyAlignment="1">
      <alignment horizontal="right" vertical="center" wrapText="1"/>
    </xf>
    <xf numFmtId="3" fontId="2" fillId="2" borderId="8" xfId="0" applyNumberFormat="1" applyFont="1" applyFill="1" applyBorder="1" applyAlignment="1">
      <alignment horizontal="right" vertical="center"/>
    </xf>
    <xf numFmtId="3" fontId="3" fillId="2" borderId="8" xfId="0" applyNumberFormat="1" applyFont="1" applyFill="1" applyBorder="1" applyAlignment="1">
      <alignment horizontal="right" vertical="center"/>
    </xf>
    <xf numFmtId="165" fontId="2" fillId="2" borderId="8" xfId="1" applyNumberFormat="1" applyFont="1" applyFill="1" applyBorder="1" applyAlignment="1">
      <alignment horizontal="right" vertical="center" wrapText="1"/>
    </xf>
    <xf numFmtId="0" fontId="2" fillId="2" borderId="8" xfId="0" applyFont="1" applyFill="1" applyBorder="1" applyAlignment="1">
      <alignment horizontal="right" vertical="center" wrapText="1"/>
    </xf>
    <xf numFmtId="167" fontId="2" fillId="0" borderId="8" xfId="1" applyNumberFormat="1" applyFont="1" applyFill="1" applyBorder="1" applyAlignment="1">
      <alignment vertical="center" wrapText="1"/>
    </xf>
    <xf numFmtId="0" fontId="3" fillId="0" borderId="0" xfId="7" applyFont="1" applyAlignment="1">
      <alignment vertical="center"/>
    </xf>
    <xf numFmtId="0" fontId="3" fillId="0" borderId="0" xfId="7" applyFont="1" applyAlignment="1">
      <alignment horizontal="center" vertical="center"/>
    </xf>
    <xf numFmtId="0" fontId="2" fillId="0" borderId="8" xfId="7" applyFont="1" applyBorder="1" applyAlignment="1">
      <alignment horizontal="center" vertical="center" wrapText="1"/>
    </xf>
    <xf numFmtId="0" fontId="2" fillId="0" borderId="8" xfId="7" applyFont="1" applyBorder="1" applyAlignment="1">
      <alignment vertical="center" wrapText="1"/>
    </xf>
    <xf numFmtId="0" fontId="3" fillId="0" borderId="8" xfId="7" applyFont="1" applyBorder="1" applyAlignment="1">
      <alignment horizontal="center" vertical="center"/>
    </xf>
    <xf numFmtId="0" fontId="3" fillId="0" borderId="8" xfId="7" applyFont="1" applyBorder="1" applyAlignment="1">
      <alignment vertical="center" wrapText="1"/>
    </xf>
    <xf numFmtId="3" fontId="3" fillId="0" borderId="8" xfId="7" applyNumberFormat="1" applyFont="1" applyBorder="1" applyAlignment="1">
      <alignment horizontal="center" vertical="center"/>
    </xf>
    <xf numFmtId="2" fontId="3" fillId="0" borderId="0" xfId="7" applyNumberFormat="1" applyFont="1" applyAlignment="1">
      <alignment vertical="center"/>
    </xf>
    <xf numFmtId="1" fontId="3" fillId="0" borderId="0" xfId="7" applyNumberFormat="1" applyFont="1" applyAlignment="1">
      <alignment vertical="center"/>
    </xf>
    <xf numFmtId="0" fontId="3" fillId="0" borderId="0" xfId="7" applyFont="1" applyAlignment="1">
      <alignment horizontal="left" vertical="center" wrapText="1"/>
    </xf>
    <xf numFmtId="0" fontId="3" fillId="0" borderId="8" xfId="0" applyFont="1" applyBorder="1" applyAlignment="1">
      <alignment vertical="center" wrapText="1"/>
    </xf>
    <xf numFmtId="0" fontId="3" fillId="0" borderId="8" xfId="7" applyFont="1" applyBorder="1" applyAlignment="1">
      <alignment vertical="center"/>
    </xf>
    <xf numFmtId="0" fontId="9" fillId="0" borderId="0" xfId="7" applyFont="1" applyAlignment="1">
      <alignment horizontal="center" vertical="center"/>
    </xf>
    <xf numFmtId="3" fontId="3" fillId="0" borderId="0" xfId="7" applyNumberFormat="1" applyFont="1" applyAlignment="1">
      <alignment horizontal="center" vertical="center"/>
    </xf>
    <xf numFmtId="0" fontId="3" fillId="0" borderId="0" xfId="7" applyFont="1" applyAlignment="1">
      <alignment vertical="center" wrapText="1"/>
    </xf>
    <xf numFmtId="4" fontId="3" fillId="0" borderId="0" xfId="7" applyNumberFormat="1" applyFont="1" applyAlignment="1">
      <alignment vertical="center"/>
    </xf>
    <xf numFmtId="3" fontId="3" fillId="0" borderId="0" xfId="7" applyNumberFormat="1" applyFont="1" applyAlignment="1">
      <alignment vertical="center"/>
    </xf>
    <xf numFmtId="0" fontId="2" fillId="2" borderId="4" xfId="8" applyFont="1" applyFill="1" applyBorder="1" applyAlignment="1">
      <alignment vertical="center" wrapText="1"/>
    </xf>
    <xf numFmtId="0" fontId="2" fillId="2" borderId="5" xfId="8" applyFont="1" applyFill="1" applyBorder="1" applyAlignment="1">
      <alignment vertical="center" wrapText="1"/>
    </xf>
    <xf numFmtId="0" fontId="2" fillId="0" borderId="0" xfId="0" applyFont="1" applyAlignment="1">
      <alignment vertical="center"/>
    </xf>
    <xf numFmtId="0" fontId="3" fillId="0" borderId="0" xfId="7" applyFont="1" applyAlignment="1">
      <alignment horizontal="left" vertical="center"/>
    </xf>
    <xf numFmtId="0" fontId="2" fillId="0" borderId="3" xfId="7" applyFont="1" applyBorder="1" applyAlignment="1">
      <alignment horizontal="center" vertical="center" wrapText="1"/>
    </xf>
    <xf numFmtId="0" fontId="2" fillId="0" borderId="8" xfId="7" applyFont="1" applyBorder="1" applyAlignment="1">
      <alignment horizontal="center" vertical="center"/>
    </xf>
    <xf numFmtId="167" fontId="5" fillId="0" borderId="8" xfId="1" applyNumberFormat="1" applyFont="1" applyFill="1" applyBorder="1" applyAlignment="1">
      <alignment vertical="center" wrapText="1"/>
    </xf>
    <xf numFmtId="0" fontId="4" fillId="0" borderId="8" xfId="4" applyFont="1" applyBorder="1" applyAlignment="1">
      <alignment horizontal="center" vertical="center" wrapText="1"/>
    </xf>
    <xf numFmtId="0" fontId="3" fillId="2" borderId="8" xfId="0" applyFont="1" applyFill="1" applyBorder="1" applyAlignment="1">
      <alignment horizontal="left" vertical="center" wrapText="1"/>
    </xf>
    <xf numFmtId="166" fontId="3" fillId="2" borderId="8" xfId="0" applyNumberFormat="1" applyFont="1" applyFill="1" applyBorder="1" applyAlignment="1">
      <alignment horizontal="right" vertical="center"/>
    </xf>
    <xf numFmtId="0" fontId="3" fillId="2" borderId="8" xfId="0" applyFont="1" applyFill="1" applyBorder="1" applyAlignment="1">
      <alignment horizontal="center" vertical="center" wrapText="1"/>
    </xf>
    <xf numFmtId="0" fontId="12" fillId="2" borderId="8" xfId="8" applyFont="1" applyFill="1" applyBorder="1" applyAlignment="1">
      <alignment horizontal="left" vertical="center" wrapText="1"/>
    </xf>
    <xf numFmtId="0" fontId="5" fillId="0" borderId="8" xfId="0" applyFont="1" applyBorder="1" applyAlignment="1">
      <alignment horizontal="center" vertical="center" wrapText="1"/>
    </xf>
    <xf numFmtId="0" fontId="4" fillId="0" borderId="8" xfId="4" quotePrefix="1" applyFont="1" applyBorder="1" applyAlignment="1">
      <alignment vertical="center" wrapText="1"/>
    </xf>
    <xf numFmtId="0" fontId="2" fillId="2" borderId="8" xfId="8" applyFont="1" applyFill="1" applyBorder="1" applyAlignment="1">
      <alignment vertical="center" wrapText="1"/>
    </xf>
    <xf numFmtId="0" fontId="5" fillId="0" borderId="0" xfId="0" applyFont="1" applyAlignment="1">
      <alignment horizontal="center"/>
    </xf>
    <xf numFmtId="0" fontId="19" fillId="0" borderId="0" xfId="0" applyFont="1"/>
    <xf numFmtId="0" fontId="5" fillId="0" borderId="0" xfId="0" applyFont="1" applyAlignment="1">
      <alignment horizontal="left" vertical="center" wrapText="1"/>
    </xf>
    <xf numFmtId="0" fontId="6" fillId="0" borderId="0" xfId="0" applyFont="1" applyAlignment="1">
      <alignment horizontal="right" vertical="center"/>
    </xf>
    <xf numFmtId="9" fontId="19" fillId="0" borderId="1" xfId="0" applyNumberFormat="1" applyFont="1" applyBorder="1" applyAlignment="1">
      <alignment vertical="center"/>
    </xf>
    <xf numFmtId="0" fontId="5" fillId="0" borderId="8"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vertical="center" wrapText="1"/>
    </xf>
    <xf numFmtId="0" fontId="5" fillId="0" borderId="5" xfId="0" applyFont="1" applyBorder="1" applyAlignment="1">
      <alignment horizontal="center" vertical="center" wrapText="1"/>
    </xf>
    <xf numFmtId="0" fontId="4" fillId="0" borderId="8" xfId="0" applyFont="1" applyBorder="1"/>
    <xf numFmtId="0" fontId="4" fillId="0" borderId="8" xfId="0" applyFont="1" applyBorder="1" applyAlignment="1">
      <alignment horizontal="center" vertical="center" wrapText="1"/>
    </xf>
    <xf numFmtId="0" fontId="4" fillId="0" borderId="8" xfId="0" applyFont="1" applyBorder="1" applyAlignment="1">
      <alignment vertical="center" wrapText="1"/>
    </xf>
    <xf numFmtId="3" fontId="4" fillId="0" borderId="8" xfId="0" applyNumberFormat="1" applyFont="1" applyBorder="1" applyAlignment="1">
      <alignment vertical="center" wrapText="1"/>
    </xf>
    <xf numFmtId="2" fontId="5" fillId="0" borderId="8" xfId="0" applyNumberFormat="1" applyFont="1" applyBorder="1" applyAlignment="1">
      <alignment vertical="center" wrapText="1"/>
    </xf>
    <xf numFmtId="0" fontId="5" fillId="0" borderId="8" xfId="0" applyFont="1" applyBorder="1"/>
    <xf numFmtId="0" fontId="5" fillId="0" borderId="0" xfId="0" applyFont="1"/>
    <xf numFmtId="0" fontId="19" fillId="0" borderId="8" xfId="0" applyFont="1" applyBorder="1"/>
    <xf numFmtId="0" fontId="19" fillId="0" borderId="8" xfId="0" applyFont="1" applyBorder="1" applyAlignment="1">
      <alignment horizontal="left" vertical="center"/>
    </xf>
    <xf numFmtId="0" fontId="19" fillId="0" borderId="0" xfId="0" applyFont="1" applyAlignment="1">
      <alignment horizontal="left" vertical="center"/>
    </xf>
    <xf numFmtId="0" fontId="19" fillId="0" borderId="0" xfId="0" applyFont="1" applyAlignment="1">
      <alignment horizontal="center" vertical="center"/>
    </xf>
    <xf numFmtId="0" fontId="2" fillId="0" borderId="0" xfId="8" applyFont="1" applyAlignment="1">
      <alignment horizontal="left" vertical="center"/>
    </xf>
    <xf numFmtId="0" fontId="3" fillId="0" borderId="0" xfId="8" applyFont="1"/>
    <xf numFmtId="0" fontId="12" fillId="0" borderId="8" xfId="8" applyFont="1" applyBorder="1" applyAlignment="1">
      <alignment horizontal="center" vertical="center" wrapText="1"/>
    </xf>
    <xf numFmtId="0" fontId="12" fillId="0" borderId="0" xfId="8" applyFont="1" applyAlignment="1">
      <alignment horizontal="right" vertical="center"/>
    </xf>
    <xf numFmtId="0" fontId="13" fillId="0" borderId="0" xfId="8" applyFont="1"/>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8" xfId="8" applyFont="1" applyBorder="1" applyAlignment="1">
      <alignment horizontal="center" vertical="center" wrapText="1"/>
    </xf>
    <xf numFmtId="0" fontId="2" fillId="0" borderId="4" xfId="8" applyFont="1" applyBorder="1" applyAlignment="1">
      <alignment vertical="center" wrapText="1"/>
    </xf>
    <xf numFmtId="0" fontId="2" fillId="0" borderId="5" xfId="8" applyFont="1" applyBorder="1" applyAlignment="1">
      <alignment vertical="center" wrapText="1"/>
    </xf>
    <xf numFmtId="0" fontId="2" fillId="0" borderId="8" xfId="8" applyFont="1" applyBorder="1" applyAlignment="1">
      <alignment horizontal="center" vertical="center" wrapText="1"/>
    </xf>
    <xf numFmtId="0" fontId="3" fillId="0" borderId="0" xfId="0" applyFont="1"/>
    <xf numFmtId="0" fontId="5" fillId="0" borderId="8" xfId="8" applyFont="1" applyBorder="1" applyAlignment="1">
      <alignment horizontal="right" vertical="center" wrapText="1"/>
    </xf>
    <xf numFmtId="0" fontId="2" fillId="0" borderId="3" xfId="8" applyFont="1" applyBorder="1" applyAlignment="1">
      <alignment horizontal="right" vertical="center" wrapText="1"/>
    </xf>
    <xf numFmtId="0" fontId="5" fillId="0" borderId="8" xfId="8" applyFont="1" applyBorder="1" applyAlignment="1">
      <alignment horizontal="right" vertical="center"/>
    </xf>
    <xf numFmtId="0" fontId="5" fillId="0" borderId="8" xfId="8" applyFont="1" applyBorder="1" applyAlignment="1">
      <alignment horizontal="center" vertical="center"/>
    </xf>
    <xf numFmtId="0" fontId="2" fillId="0" borderId="8" xfId="8" applyFont="1" applyBorder="1" applyAlignment="1">
      <alignment horizontal="center" vertical="center"/>
    </xf>
    <xf numFmtId="0" fontId="2" fillId="0" borderId="8" xfId="8" applyFont="1" applyBorder="1" applyAlignment="1">
      <alignment horizontal="right" vertical="center"/>
    </xf>
    <xf numFmtId="3" fontId="13" fillId="0" borderId="8" xfId="8" applyNumberFormat="1" applyFont="1" applyBorder="1" applyAlignment="1">
      <alignment horizontal="center" vertical="center" wrapText="1"/>
    </xf>
    <xf numFmtId="49" fontId="13" fillId="0" borderId="8" xfId="8" applyNumberFormat="1" applyFont="1" applyBorder="1" applyAlignment="1">
      <alignment horizontal="left" vertical="center" wrapText="1"/>
    </xf>
    <xf numFmtId="3" fontId="13" fillId="0" borderId="8" xfId="8" applyNumberFormat="1" applyFont="1" applyBorder="1" applyAlignment="1">
      <alignment horizontal="right" vertical="center" wrapText="1"/>
    </xf>
    <xf numFmtId="9" fontId="13" fillId="0" borderId="8" xfId="10" applyFont="1" applyFill="1" applyBorder="1" applyAlignment="1">
      <alignment horizontal="right" vertical="center" wrapText="1"/>
    </xf>
    <xf numFmtId="49" fontId="13" fillId="0" borderId="8" xfId="8" applyNumberFormat="1" applyFont="1" applyBorder="1" applyAlignment="1">
      <alignment horizontal="right" vertical="center" wrapText="1"/>
    </xf>
    <xf numFmtId="0" fontId="18" fillId="0" borderId="0" xfId="8" applyFont="1"/>
    <xf numFmtId="3" fontId="13" fillId="0" borderId="8" xfId="8" applyNumberFormat="1" applyFont="1" applyBorder="1" applyAlignment="1">
      <alignment vertical="center" wrapText="1"/>
    </xf>
    <xf numFmtId="49" fontId="13" fillId="0" borderId="8" xfId="8" applyNumberFormat="1" applyFont="1" applyBorder="1" applyAlignment="1">
      <alignment horizontal="center" vertical="center" wrapText="1"/>
    </xf>
    <xf numFmtId="49" fontId="13" fillId="0" borderId="8" xfId="8" applyNumberFormat="1" applyFont="1" applyBorder="1" applyAlignment="1">
      <alignment vertical="center" wrapText="1"/>
    </xf>
    <xf numFmtId="3" fontId="13" fillId="0" borderId="8" xfId="8" applyNumberFormat="1" applyFont="1" applyBorder="1" applyAlignment="1">
      <alignment horizontal="left" vertical="center" wrapText="1"/>
    </xf>
    <xf numFmtId="0" fontId="13" fillId="0" borderId="8" xfId="8" applyFont="1" applyBorder="1" applyAlignment="1">
      <alignment horizontal="center" vertical="center"/>
    </xf>
    <xf numFmtId="0" fontId="13" fillId="0" borderId="8" xfId="8" applyFont="1" applyBorder="1" applyAlignment="1">
      <alignment horizontal="left" vertical="center" wrapText="1"/>
    </xf>
    <xf numFmtId="0" fontId="13" fillId="0" borderId="8" xfId="8" applyFont="1" applyBorder="1" applyAlignment="1">
      <alignment horizontal="right" vertical="center" wrapText="1"/>
    </xf>
    <xf numFmtId="0" fontId="12" fillId="0" borderId="8" xfId="8" applyFont="1" applyBorder="1" applyAlignment="1">
      <alignment vertical="center" wrapText="1"/>
    </xf>
    <xf numFmtId="0" fontId="13" fillId="0" borderId="8" xfId="8" applyFont="1" applyBorder="1"/>
    <xf numFmtId="0" fontId="11" fillId="0" borderId="8" xfId="8" applyFont="1" applyBorder="1" applyAlignment="1">
      <alignment horizontal="left"/>
    </xf>
    <xf numFmtId="3" fontId="4" fillId="0" borderId="8" xfId="8" applyNumberFormat="1" applyFont="1" applyBorder="1" applyAlignment="1">
      <alignment horizontal="right" vertical="center" wrapText="1"/>
    </xf>
    <xf numFmtId="0" fontId="4" fillId="0" borderId="0" xfId="8" applyFont="1"/>
    <xf numFmtId="0" fontId="6" fillId="0" borderId="0" xfId="8" applyFont="1" applyAlignment="1">
      <alignment horizontal="left"/>
    </xf>
    <xf numFmtId="0" fontId="6" fillId="0" borderId="0" xfId="8" applyFont="1" applyAlignment="1">
      <alignment horizontal="right"/>
    </xf>
    <xf numFmtId="0" fontId="11" fillId="0" borderId="0" xfId="8" applyFont="1" applyAlignment="1">
      <alignment horizontal="left"/>
    </xf>
    <xf numFmtId="3" fontId="13" fillId="0" borderId="0" xfId="8" applyNumberFormat="1" applyFont="1" applyAlignment="1">
      <alignment horizontal="right" vertical="center" wrapText="1"/>
    </xf>
    <xf numFmtId="0" fontId="5" fillId="0" borderId="8" xfId="8" applyFont="1" applyBorder="1" applyAlignment="1">
      <alignment vertical="center" wrapText="1"/>
    </xf>
    <xf numFmtId="0" fontId="4"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1" fontId="5" fillId="0" borderId="8" xfId="0" applyNumberFormat="1" applyFont="1" applyBorder="1" applyAlignment="1">
      <alignment horizontal="center" vertical="center" wrapText="1"/>
    </xf>
    <xf numFmtId="1" fontId="5" fillId="0" borderId="5" xfId="0" applyNumberFormat="1" applyFont="1" applyBorder="1" applyAlignment="1">
      <alignment vertical="center" wrapText="1"/>
    </xf>
    <xf numFmtId="0" fontId="5" fillId="0" borderId="0" xfId="0" applyFont="1" applyAlignment="1">
      <alignment horizontal="center" wrapText="1"/>
    </xf>
    <xf numFmtId="0" fontId="4" fillId="0" borderId="0" xfId="0" applyFont="1" applyAlignment="1">
      <alignment horizontal="center"/>
    </xf>
    <xf numFmtId="1" fontId="4" fillId="0" borderId="8" xfId="0" applyNumberFormat="1" applyFont="1" applyBorder="1" applyAlignment="1">
      <alignment horizontal="left"/>
    </xf>
    <xf numFmtId="0" fontId="5" fillId="0" borderId="0" xfId="0" applyFont="1" applyAlignment="1">
      <alignment vertical="center"/>
    </xf>
    <xf numFmtId="1" fontId="5" fillId="0" borderId="8" xfId="0" applyNumberFormat="1" applyFont="1" applyBorder="1" applyAlignment="1">
      <alignment horizontal="center" vertical="center"/>
    </xf>
    <xf numFmtId="1" fontId="5" fillId="0" borderId="8" xfId="0" applyNumberFormat="1" applyFont="1" applyBorder="1" applyAlignment="1">
      <alignment vertical="center"/>
    </xf>
    <xf numFmtId="1" fontId="4" fillId="0" borderId="8" xfId="0" applyNumberFormat="1" applyFont="1" applyBorder="1" applyAlignment="1">
      <alignment horizontal="left" vertical="center"/>
    </xf>
    <xf numFmtId="0" fontId="4" fillId="0" borderId="0" xfId="0" applyFont="1" applyAlignment="1">
      <alignment vertical="center" wrapText="1"/>
    </xf>
    <xf numFmtId="166" fontId="4" fillId="0" borderId="0" xfId="0" applyNumberFormat="1" applyFont="1" applyAlignment="1">
      <alignment horizontal="center" vertical="center"/>
    </xf>
    <xf numFmtId="166" fontId="4" fillId="0" borderId="0" xfId="0" applyNumberFormat="1" applyFont="1" applyAlignment="1">
      <alignment horizontal="center" vertical="center" wrapText="1"/>
    </xf>
    <xf numFmtId="166" fontId="4" fillId="0" borderId="0" xfId="0" applyNumberFormat="1" applyFont="1" applyAlignment="1">
      <alignment vertical="center" wrapText="1"/>
    </xf>
    <xf numFmtId="1" fontId="4" fillId="0" borderId="8" xfId="0" applyNumberFormat="1" applyFont="1" applyBorder="1" applyAlignment="1">
      <alignment horizontal="center" vertical="center"/>
    </xf>
    <xf numFmtId="1" fontId="4" fillId="0" borderId="8" xfId="0" applyNumberFormat="1" applyFont="1" applyBorder="1" applyAlignment="1">
      <alignment vertical="center" wrapText="1"/>
    </xf>
    <xf numFmtId="0" fontId="4" fillId="0" borderId="0" xfId="0" applyFont="1" applyAlignment="1">
      <alignment horizontal="center" vertical="center" wrapText="1"/>
    </xf>
    <xf numFmtId="1" fontId="4" fillId="0" borderId="8" xfId="0" applyNumberFormat="1" applyFont="1" applyBorder="1" applyAlignment="1">
      <alignment horizontal="center" vertical="center" wrapText="1"/>
    </xf>
    <xf numFmtId="0" fontId="4" fillId="0" borderId="0" xfId="0" applyFont="1" applyAlignment="1">
      <alignment horizontal="left" vertical="center" wrapText="1"/>
    </xf>
    <xf numFmtId="1" fontId="4" fillId="0" borderId="8" xfId="0" applyNumberFormat="1" applyFont="1" applyBorder="1" applyAlignment="1">
      <alignment horizontal="left" vertical="center" wrapText="1"/>
    </xf>
    <xf numFmtId="1" fontId="6" fillId="0" borderId="8" xfId="0" applyNumberFormat="1" applyFont="1" applyBorder="1" applyAlignment="1">
      <alignment horizontal="left" vertical="center" wrapText="1"/>
    </xf>
    <xf numFmtId="1" fontId="4" fillId="0" borderId="8" xfId="0" applyNumberFormat="1" applyFont="1" applyBorder="1" applyAlignment="1">
      <alignment vertical="center"/>
    </xf>
    <xf numFmtId="0" fontId="4" fillId="0" borderId="0" xfId="0" applyFont="1" applyAlignment="1">
      <alignment wrapText="1"/>
    </xf>
    <xf numFmtId="166" fontId="4" fillId="0" borderId="0" xfId="0" applyNumberFormat="1" applyFont="1" applyAlignment="1">
      <alignment horizontal="center"/>
    </xf>
    <xf numFmtId="166" fontId="4" fillId="0" borderId="0" xfId="0" applyNumberFormat="1" applyFont="1" applyAlignment="1">
      <alignment horizontal="center" wrapText="1"/>
    </xf>
    <xf numFmtId="0" fontId="5" fillId="0" borderId="0" xfId="0" applyFont="1" applyAlignment="1">
      <alignment vertical="center" wrapText="1"/>
    </xf>
    <xf numFmtId="1" fontId="5" fillId="0" borderId="8" xfId="0" applyNumberFormat="1" applyFont="1" applyBorder="1" applyAlignment="1">
      <alignment horizontal="center"/>
    </xf>
    <xf numFmtId="1" fontId="5" fillId="0" borderId="8" xfId="0" applyNumberFormat="1" applyFont="1" applyBorder="1" applyAlignment="1">
      <alignment vertical="center" wrapText="1"/>
    </xf>
    <xf numFmtId="1" fontId="4" fillId="0" borderId="8" xfId="0" applyNumberFormat="1" applyFont="1" applyBorder="1" applyAlignment="1">
      <alignment horizontal="center"/>
    </xf>
    <xf numFmtId="1" fontId="6" fillId="0" borderId="8" xfId="0" applyNumberFormat="1" applyFont="1" applyBorder="1" applyAlignment="1">
      <alignment horizontal="left" wrapText="1"/>
    </xf>
    <xf numFmtId="0" fontId="5" fillId="0" borderId="0" xfId="0" applyFont="1" applyAlignment="1">
      <alignment horizontal="left" vertical="center"/>
    </xf>
    <xf numFmtId="1" fontId="5" fillId="0" borderId="8" xfId="0" applyNumberFormat="1" applyFont="1" applyBorder="1" applyAlignment="1">
      <alignment horizontal="left" vertical="center"/>
    </xf>
    <xf numFmtId="166" fontId="5" fillId="0" borderId="0" xfId="0" applyNumberFormat="1" applyFont="1" applyAlignment="1">
      <alignment horizontal="center" vertical="center"/>
    </xf>
    <xf numFmtId="166" fontId="5" fillId="0" borderId="0" xfId="0" applyNumberFormat="1" applyFont="1" applyAlignment="1">
      <alignment horizontal="center" vertical="center" wrapText="1"/>
    </xf>
    <xf numFmtId="1" fontId="14" fillId="0" borderId="8" xfId="0" applyNumberFormat="1" applyFont="1" applyBorder="1" applyAlignment="1">
      <alignment horizontal="left" vertical="center" wrapText="1"/>
    </xf>
    <xf numFmtId="0" fontId="2" fillId="0" borderId="0" xfId="0" applyFont="1"/>
    <xf numFmtId="1" fontId="5" fillId="0" borderId="8" xfId="0" applyNumberFormat="1" applyFont="1" applyBorder="1" applyAlignment="1">
      <alignment horizontal="left" vertical="center" wrapText="1"/>
    </xf>
    <xf numFmtId="0" fontId="3" fillId="0" borderId="0" xfId="0" applyFont="1" applyAlignment="1">
      <alignment horizontal="center"/>
    </xf>
    <xf numFmtId="1" fontId="3" fillId="0" borderId="0" xfId="0" applyNumberFormat="1" applyFont="1"/>
    <xf numFmtId="1" fontId="3" fillId="0" borderId="0" xfId="0" applyNumberFormat="1" applyFont="1" applyAlignment="1">
      <alignment vertical="center"/>
    </xf>
    <xf numFmtId="1" fontId="3" fillId="0" borderId="0" xfId="0" applyNumberFormat="1" applyFont="1" applyAlignment="1">
      <alignment horizontal="center" vertical="center"/>
    </xf>
    <xf numFmtId="168" fontId="4" fillId="0" borderId="8" xfId="0" applyNumberFormat="1" applyFont="1" applyBorder="1" applyAlignment="1">
      <alignment horizontal="center" vertical="center"/>
    </xf>
    <xf numFmtId="0" fontId="4" fillId="0" borderId="8" xfId="0" applyFont="1" applyBorder="1" applyAlignment="1">
      <alignment horizontal="center" vertical="center"/>
    </xf>
    <xf numFmtId="0" fontId="2" fillId="0" borderId="0" xfId="4" applyFont="1" applyAlignment="1">
      <alignment vertical="center" wrapText="1"/>
    </xf>
    <xf numFmtId="0" fontId="9" fillId="0" borderId="0" xfId="4" applyFont="1" applyAlignment="1">
      <alignment horizontal="center" vertical="center" wrapText="1"/>
    </xf>
    <xf numFmtId="9" fontId="22" fillId="0" borderId="1" xfId="0" applyNumberFormat="1" applyFont="1" applyBorder="1" applyAlignment="1">
      <alignment vertical="center"/>
    </xf>
    <xf numFmtId="0" fontId="2" fillId="0" borderId="8" xfId="0" applyFont="1" applyBorder="1" applyAlignment="1">
      <alignment horizontal="center" vertical="center" wrapText="1"/>
    </xf>
    <xf numFmtId="0" fontId="3" fillId="0" borderId="0" xfId="0" applyFont="1" applyAlignment="1">
      <alignment vertical="center"/>
    </xf>
    <xf numFmtId="0" fontId="2" fillId="0" borderId="8" xfId="0" applyFont="1" applyBorder="1" applyAlignment="1">
      <alignment vertical="center" wrapText="1"/>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2" fillId="0" borderId="8" xfId="0" applyFont="1" applyBorder="1" applyAlignment="1">
      <alignment horizontal="center" vertical="center"/>
    </xf>
    <xf numFmtId="0" fontId="2" fillId="0" borderId="8" xfId="0" quotePrefix="1" applyFont="1" applyBorder="1" applyAlignment="1">
      <alignment vertical="center" wrapTex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wrapText="1"/>
    </xf>
    <xf numFmtId="3" fontId="3"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8" xfId="0" quotePrefix="1" applyFont="1" applyBorder="1" applyAlignment="1">
      <alignment vertical="center" wrapText="1"/>
    </xf>
    <xf numFmtId="0" fontId="2" fillId="0" borderId="8" xfId="0" applyFont="1" applyBorder="1" applyAlignment="1">
      <alignment vertical="center"/>
    </xf>
    <xf numFmtId="0" fontId="2" fillId="0" borderId="8" xfId="2" applyFont="1" applyBorder="1" applyAlignment="1">
      <alignment horizontal="center" vertical="center"/>
    </xf>
    <xf numFmtId="0" fontId="2" fillId="0" borderId="8" xfId="2" applyFont="1" applyBorder="1" applyAlignment="1">
      <alignment vertical="center" wrapText="1"/>
    </xf>
    <xf numFmtId="166" fontId="2" fillId="0" borderId="8" xfId="2" applyNumberFormat="1" applyFont="1" applyBorder="1" applyAlignment="1">
      <alignment horizontal="center" vertical="center"/>
    </xf>
    <xf numFmtId="166" fontId="3" fillId="0" borderId="8" xfId="2" applyNumberFormat="1" applyFont="1" applyBorder="1" applyAlignment="1">
      <alignment horizontal="center" vertical="center"/>
    </xf>
    <xf numFmtId="0" fontId="3" fillId="0" borderId="8" xfId="2" applyFont="1" applyBorder="1" applyAlignment="1">
      <alignment horizontal="center" vertical="center"/>
    </xf>
    <xf numFmtId="0" fontId="3" fillId="0" borderId="8" xfId="2"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vertical="center" wrapText="1"/>
    </xf>
    <xf numFmtId="0" fontId="20"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9" fillId="0" borderId="1" xfId="0" applyFont="1" applyBorder="1" applyAlignment="1">
      <alignment horizontal="center"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horizontal="left" vertical="center" wrapText="1"/>
    </xf>
    <xf numFmtId="0" fontId="4" fillId="0" borderId="8" xfId="4" applyFont="1" applyBorder="1" applyAlignment="1">
      <alignment horizontal="center" vertical="center" wrapText="1"/>
    </xf>
    <xf numFmtId="0" fontId="2" fillId="0" borderId="0" xfId="4" applyFont="1" applyAlignment="1">
      <alignment horizontal="left" vertical="center" wrapText="1"/>
    </xf>
    <xf numFmtId="0" fontId="5" fillId="0" borderId="8" xfId="4" applyFont="1" applyBorder="1" applyAlignment="1">
      <alignment horizontal="center" vertical="center" wrapText="1"/>
    </xf>
    <xf numFmtId="0" fontId="5" fillId="0" borderId="8" xfId="0" applyFont="1" applyBorder="1" applyAlignment="1">
      <alignment horizontal="center" vertical="center" wrapText="1"/>
    </xf>
    <xf numFmtId="0" fontId="9" fillId="0" borderId="0" xfId="4" applyFont="1" applyAlignment="1">
      <alignment horizontal="right" vertical="center" wrapText="1"/>
    </xf>
    <xf numFmtId="0" fontId="3" fillId="0" borderId="0" xfId="7" applyFont="1" applyAlignment="1">
      <alignment horizontal="left" vertical="center"/>
    </xf>
    <xf numFmtId="0" fontId="3" fillId="0" borderId="0" xfId="7" applyFont="1" applyAlignment="1">
      <alignment horizontal="center" vertical="center" wrapText="1"/>
    </xf>
    <xf numFmtId="0" fontId="2" fillId="0" borderId="2" xfId="7" applyFont="1" applyBorder="1" applyAlignment="1">
      <alignment horizontal="center" vertical="center"/>
    </xf>
    <xf numFmtId="0" fontId="2" fillId="0" borderId="6" xfId="7" applyFont="1" applyBorder="1" applyAlignment="1">
      <alignment horizontal="center" vertical="center"/>
    </xf>
    <xf numFmtId="0" fontId="2" fillId="0" borderId="7" xfId="7" applyFont="1" applyBorder="1" applyAlignment="1">
      <alignment horizontal="center" vertical="center"/>
    </xf>
    <xf numFmtId="0" fontId="2" fillId="0" borderId="2" xfId="7" applyFont="1" applyBorder="1" applyAlignment="1">
      <alignment horizontal="center" vertical="center" wrapText="1"/>
    </xf>
    <xf numFmtId="0" fontId="2" fillId="0" borderId="6" xfId="7" applyFont="1" applyBorder="1" applyAlignment="1">
      <alignment horizontal="center" vertical="center" wrapText="1"/>
    </xf>
    <xf numFmtId="0" fontId="2" fillId="0" borderId="7" xfId="7" applyFont="1" applyBorder="1" applyAlignment="1">
      <alignment horizontal="center" vertical="center" wrapText="1"/>
    </xf>
    <xf numFmtId="3" fontId="3" fillId="0" borderId="2" xfId="7" applyNumberFormat="1" applyFont="1" applyBorder="1" applyAlignment="1">
      <alignment horizontal="center" vertical="center"/>
    </xf>
    <xf numFmtId="3" fontId="3" fillId="0" borderId="6" xfId="7" applyNumberFormat="1" applyFont="1" applyBorder="1" applyAlignment="1">
      <alignment horizontal="center" vertical="center"/>
    </xf>
    <xf numFmtId="3" fontId="3" fillId="0" borderId="7" xfId="7" applyNumberFormat="1" applyFont="1" applyBorder="1" applyAlignment="1">
      <alignment horizontal="center" vertical="center"/>
    </xf>
    <xf numFmtId="0" fontId="2" fillId="0" borderId="3" xfId="7" applyFont="1" applyBorder="1" applyAlignment="1">
      <alignment horizontal="center" vertical="center" wrapText="1"/>
    </xf>
    <xf numFmtId="0" fontId="2" fillId="0" borderId="4" xfId="7" applyFont="1" applyBorder="1" applyAlignment="1">
      <alignment horizontal="center" vertical="center" wrapText="1"/>
    </xf>
    <xf numFmtId="0" fontId="2" fillId="0" borderId="5" xfId="7" applyFont="1" applyBorder="1" applyAlignment="1">
      <alignment horizontal="center" vertical="center" wrapText="1"/>
    </xf>
    <xf numFmtId="0" fontId="2" fillId="0" borderId="3" xfId="7" applyFont="1" applyBorder="1" applyAlignment="1">
      <alignment horizontal="center" vertical="center"/>
    </xf>
    <xf numFmtId="0" fontId="2" fillId="0" borderId="4" xfId="7" applyFont="1" applyBorder="1" applyAlignment="1">
      <alignment horizontal="center" vertical="center"/>
    </xf>
    <xf numFmtId="0" fontId="2" fillId="0" borderId="5" xfId="7" applyFont="1" applyBorder="1" applyAlignment="1">
      <alignment horizontal="center" vertical="center"/>
    </xf>
    <xf numFmtId="0" fontId="2" fillId="0" borderId="8" xfId="7" applyFont="1" applyBorder="1" applyAlignment="1">
      <alignment horizontal="center" vertical="center"/>
    </xf>
    <xf numFmtId="0" fontId="2" fillId="0" borderId="0" xfId="2" applyFont="1" applyAlignment="1">
      <alignment horizontal="left" vertical="center" wrapText="1"/>
    </xf>
    <xf numFmtId="0" fontId="3" fillId="0" borderId="1" xfId="7" applyFont="1" applyBorder="1" applyAlignment="1">
      <alignment horizontal="center" vertical="center"/>
    </xf>
    <xf numFmtId="0" fontId="9" fillId="0" borderId="1" xfId="7" applyFont="1" applyBorder="1" applyAlignment="1">
      <alignment horizontal="center" vertical="center"/>
    </xf>
    <xf numFmtId="0" fontId="9" fillId="0" borderId="1" xfId="7" applyFont="1" applyBorder="1" applyAlignment="1">
      <alignment horizontal="right" vertical="center"/>
    </xf>
    <xf numFmtId="0" fontId="2" fillId="2" borderId="8" xfId="8" applyFont="1" applyFill="1" applyBorder="1" applyAlignment="1">
      <alignment horizontal="center" vertical="center" wrapText="1"/>
    </xf>
    <xf numFmtId="0" fontId="3" fillId="2" borderId="8" xfId="0" applyFont="1" applyFill="1" applyBorder="1" applyAlignment="1">
      <alignment horizontal="left" vertical="center" wrapText="1"/>
    </xf>
    <xf numFmtId="166" fontId="3" fillId="2" borderId="8" xfId="0" applyNumberFormat="1" applyFont="1" applyFill="1" applyBorder="1" applyAlignment="1">
      <alignment horizontal="right" vertical="center"/>
    </xf>
    <xf numFmtId="0" fontId="3" fillId="2" borderId="8" xfId="0" applyFont="1" applyFill="1" applyBorder="1" applyAlignment="1">
      <alignment horizontal="center" vertical="center" wrapText="1"/>
    </xf>
    <xf numFmtId="0" fontId="6" fillId="0" borderId="0" xfId="0" applyFont="1" applyAlignment="1">
      <alignment horizontal="right" vertical="center"/>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9" fillId="0" borderId="1" xfId="0" applyFont="1" applyBorder="1" applyAlignment="1">
      <alignment horizontal="righ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8" xfId="8" applyFont="1" applyBorder="1" applyAlignment="1">
      <alignment horizontal="center" vertical="center" wrapText="1"/>
    </xf>
    <xf numFmtId="0" fontId="2" fillId="0" borderId="8" xfId="8" applyFont="1" applyBorder="1" applyAlignment="1">
      <alignment horizontal="center" vertical="center" wrapText="1"/>
    </xf>
    <xf numFmtId="0" fontId="12" fillId="0" borderId="8" xfId="8" applyFont="1" applyBorder="1" applyAlignment="1">
      <alignment horizontal="left" vertical="center" wrapText="1"/>
    </xf>
    <xf numFmtId="0" fontId="2" fillId="0" borderId="0" xfId="8" applyFont="1" applyAlignment="1">
      <alignment horizontal="left" vertical="center"/>
    </xf>
    <xf numFmtId="0" fontId="12" fillId="0" borderId="8" xfId="8" applyFont="1" applyBorder="1" applyAlignment="1">
      <alignment horizontal="center" vertical="center" wrapText="1"/>
    </xf>
    <xf numFmtId="1" fontId="11" fillId="0" borderId="1" xfId="9" applyNumberFormat="1" applyFont="1" applyBorder="1" applyAlignment="1">
      <alignment horizontal="center" vertical="center" wrapText="1"/>
    </xf>
    <xf numFmtId="1" fontId="9" fillId="0" borderId="1" xfId="9" applyNumberFormat="1" applyFont="1" applyBorder="1" applyAlignment="1">
      <alignment horizontal="right" vertical="center" wrapText="1"/>
    </xf>
    <xf numFmtId="0" fontId="6" fillId="0" borderId="0" xfId="0" applyFont="1" applyAlignment="1">
      <alignment horizontal="righ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1" fontId="5" fillId="0" borderId="8"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7">
    <cellStyle name="Comma" xfId="6" builtinId="3"/>
    <cellStyle name="Comma 2" xfId="5"/>
    <cellStyle name="Comma 2 2" xfId="11"/>
    <cellStyle name="Comma 3 2" xfId="1"/>
    <cellStyle name="Comma 4" xfId="3"/>
    <cellStyle name="Comma 5" xfId="12"/>
    <cellStyle name="Normal" xfId="0" builtinId="0"/>
    <cellStyle name="Normal 10 2" xfId="7"/>
    <cellStyle name="Normal 2" xfId="13"/>
    <cellStyle name="Normal 2 2" xfId="15"/>
    <cellStyle name="Normal 3" xfId="4"/>
    <cellStyle name="Normal 4" xfId="8"/>
    <cellStyle name="Normal 5 5" xfId="14"/>
    <cellStyle name="Normal 6" xfId="2"/>
    <cellStyle name="Normal_Dat NN" xfId="9"/>
    <cellStyle name="Percent 2" xfId="16"/>
    <cellStyle name="Percent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0"/>
  <sheetViews>
    <sheetView showWhiteSpace="0" zoomScale="115" zoomScaleNormal="115" workbookViewId="0">
      <selection sqref="A1:I1"/>
    </sheetView>
  </sheetViews>
  <sheetFormatPr defaultColWidth="10" defaultRowHeight="18.75" x14ac:dyDescent="0.25"/>
  <cols>
    <col min="1" max="1" width="10" style="40" customWidth="1"/>
    <col min="2" max="2" width="59.7109375" style="225" customWidth="1"/>
    <col min="3" max="3" width="12.7109375" style="40" hidden="1" customWidth="1"/>
    <col min="4" max="4" width="12.42578125" style="40" hidden="1" customWidth="1"/>
    <col min="5" max="5" width="10.28515625" style="40" hidden="1" customWidth="1"/>
    <col min="6" max="6" width="0.85546875" style="40" customWidth="1"/>
    <col min="7" max="7" width="14.5703125" style="40" customWidth="1"/>
    <col min="8" max="8" width="12.85546875" style="40" customWidth="1"/>
    <col min="9" max="9" width="13.28515625" style="40" customWidth="1"/>
    <col min="10" max="214" width="10" style="203"/>
    <col min="215" max="215" width="8.140625" style="203" customWidth="1"/>
    <col min="216" max="216" width="51.5703125" style="203" customWidth="1"/>
    <col min="217" max="219" width="10.5703125" style="203" customWidth="1"/>
    <col min="220" max="220" width="9.42578125" style="203" customWidth="1"/>
    <col min="221" max="221" width="8.140625" style="203" customWidth="1"/>
    <col min="222" max="222" width="51.28515625" style="203" customWidth="1"/>
    <col min="223" max="223" width="11.7109375" style="203" customWidth="1"/>
    <col min="224" max="224" width="10.42578125" style="203" customWidth="1"/>
    <col min="225" max="225" width="10.5703125" style="203" customWidth="1"/>
    <col min="226" max="226" width="9.5703125" style="203" customWidth="1"/>
    <col min="227" max="227" width="37.140625" style="203" customWidth="1"/>
    <col min="228" max="228" width="10" style="203" customWidth="1"/>
    <col min="229" max="231" width="8.7109375" style="203" customWidth="1"/>
    <col min="232" max="232" width="28" style="203" customWidth="1"/>
    <col min="233" max="470" width="10" style="203"/>
    <col min="471" max="471" width="8.140625" style="203" customWidth="1"/>
    <col min="472" max="472" width="51.5703125" style="203" customWidth="1"/>
    <col min="473" max="475" width="10.5703125" style="203" customWidth="1"/>
    <col min="476" max="476" width="9.42578125" style="203" customWidth="1"/>
    <col min="477" max="477" width="8.140625" style="203" customWidth="1"/>
    <col min="478" max="478" width="51.28515625" style="203" customWidth="1"/>
    <col min="479" max="479" width="11.7109375" style="203" customWidth="1"/>
    <col min="480" max="480" width="10.42578125" style="203" customWidth="1"/>
    <col min="481" max="481" width="10.5703125" style="203" customWidth="1"/>
    <col min="482" max="482" width="9.5703125" style="203" customWidth="1"/>
    <col min="483" max="483" width="37.140625" style="203" customWidth="1"/>
    <col min="484" max="484" width="10" style="203" customWidth="1"/>
    <col min="485" max="487" width="8.7109375" style="203" customWidth="1"/>
    <col min="488" max="488" width="28" style="203" customWidth="1"/>
    <col min="489" max="726" width="10" style="203"/>
    <col min="727" max="727" width="8.140625" style="203" customWidth="1"/>
    <col min="728" max="728" width="51.5703125" style="203" customWidth="1"/>
    <col min="729" max="731" width="10.5703125" style="203" customWidth="1"/>
    <col min="732" max="732" width="9.42578125" style="203" customWidth="1"/>
    <col min="733" max="733" width="8.140625" style="203" customWidth="1"/>
    <col min="734" max="734" width="51.28515625" style="203" customWidth="1"/>
    <col min="735" max="735" width="11.7109375" style="203" customWidth="1"/>
    <col min="736" max="736" width="10.42578125" style="203" customWidth="1"/>
    <col min="737" max="737" width="10.5703125" style="203" customWidth="1"/>
    <col min="738" max="738" width="9.5703125" style="203" customWidth="1"/>
    <col min="739" max="739" width="37.140625" style="203" customWidth="1"/>
    <col min="740" max="740" width="10" style="203" customWidth="1"/>
    <col min="741" max="743" width="8.7109375" style="203" customWidth="1"/>
    <col min="744" max="744" width="28" style="203" customWidth="1"/>
    <col min="745" max="982" width="10" style="203"/>
    <col min="983" max="983" width="8.140625" style="203" customWidth="1"/>
    <col min="984" max="984" width="51.5703125" style="203" customWidth="1"/>
    <col min="985" max="987" width="10.5703125" style="203" customWidth="1"/>
    <col min="988" max="988" width="9.42578125" style="203" customWidth="1"/>
    <col min="989" max="989" width="8.140625" style="203" customWidth="1"/>
    <col min="990" max="990" width="51.28515625" style="203" customWidth="1"/>
    <col min="991" max="991" width="11.7109375" style="203" customWidth="1"/>
    <col min="992" max="992" width="10.42578125" style="203" customWidth="1"/>
    <col min="993" max="993" width="10.5703125" style="203" customWidth="1"/>
    <col min="994" max="994" width="9.5703125" style="203" customWidth="1"/>
    <col min="995" max="995" width="37.140625" style="203" customWidth="1"/>
    <col min="996" max="996" width="10" style="203" customWidth="1"/>
    <col min="997" max="999" width="8.7109375" style="203" customWidth="1"/>
    <col min="1000" max="1000" width="28" style="203" customWidth="1"/>
    <col min="1001" max="1238" width="10" style="203"/>
    <col min="1239" max="1239" width="8.140625" style="203" customWidth="1"/>
    <col min="1240" max="1240" width="51.5703125" style="203" customWidth="1"/>
    <col min="1241" max="1243" width="10.5703125" style="203" customWidth="1"/>
    <col min="1244" max="1244" width="9.42578125" style="203" customWidth="1"/>
    <col min="1245" max="1245" width="8.140625" style="203" customWidth="1"/>
    <col min="1246" max="1246" width="51.28515625" style="203" customWidth="1"/>
    <col min="1247" max="1247" width="11.7109375" style="203" customWidth="1"/>
    <col min="1248" max="1248" width="10.42578125" style="203" customWidth="1"/>
    <col min="1249" max="1249" width="10.5703125" style="203" customWidth="1"/>
    <col min="1250" max="1250" width="9.5703125" style="203" customWidth="1"/>
    <col min="1251" max="1251" width="37.140625" style="203" customWidth="1"/>
    <col min="1252" max="1252" width="10" style="203" customWidth="1"/>
    <col min="1253" max="1255" width="8.7109375" style="203" customWidth="1"/>
    <col min="1256" max="1256" width="28" style="203" customWidth="1"/>
    <col min="1257" max="1494" width="10" style="203"/>
    <col min="1495" max="1495" width="8.140625" style="203" customWidth="1"/>
    <col min="1496" max="1496" width="51.5703125" style="203" customWidth="1"/>
    <col min="1497" max="1499" width="10.5703125" style="203" customWidth="1"/>
    <col min="1500" max="1500" width="9.42578125" style="203" customWidth="1"/>
    <col min="1501" max="1501" width="8.140625" style="203" customWidth="1"/>
    <col min="1502" max="1502" width="51.28515625" style="203" customWidth="1"/>
    <col min="1503" max="1503" width="11.7109375" style="203" customWidth="1"/>
    <col min="1504" max="1504" width="10.42578125" style="203" customWidth="1"/>
    <col min="1505" max="1505" width="10.5703125" style="203" customWidth="1"/>
    <col min="1506" max="1506" width="9.5703125" style="203" customWidth="1"/>
    <col min="1507" max="1507" width="37.140625" style="203" customWidth="1"/>
    <col min="1508" max="1508" width="10" style="203" customWidth="1"/>
    <col min="1509" max="1511" width="8.7109375" style="203" customWidth="1"/>
    <col min="1512" max="1512" width="28" style="203" customWidth="1"/>
    <col min="1513" max="1750" width="10" style="203"/>
    <col min="1751" max="1751" width="8.140625" style="203" customWidth="1"/>
    <col min="1752" max="1752" width="51.5703125" style="203" customWidth="1"/>
    <col min="1753" max="1755" width="10.5703125" style="203" customWidth="1"/>
    <col min="1756" max="1756" width="9.42578125" style="203" customWidth="1"/>
    <col min="1757" max="1757" width="8.140625" style="203" customWidth="1"/>
    <col min="1758" max="1758" width="51.28515625" style="203" customWidth="1"/>
    <col min="1759" max="1759" width="11.7109375" style="203" customWidth="1"/>
    <col min="1760" max="1760" width="10.42578125" style="203" customWidth="1"/>
    <col min="1761" max="1761" width="10.5703125" style="203" customWidth="1"/>
    <col min="1762" max="1762" width="9.5703125" style="203" customWidth="1"/>
    <col min="1763" max="1763" width="37.140625" style="203" customWidth="1"/>
    <col min="1764" max="1764" width="10" style="203" customWidth="1"/>
    <col min="1765" max="1767" width="8.7109375" style="203" customWidth="1"/>
    <col min="1768" max="1768" width="28" style="203" customWidth="1"/>
    <col min="1769" max="2006" width="10" style="203"/>
    <col min="2007" max="2007" width="8.140625" style="203" customWidth="1"/>
    <col min="2008" max="2008" width="51.5703125" style="203" customWidth="1"/>
    <col min="2009" max="2011" width="10.5703125" style="203" customWidth="1"/>
    <col min="2012" max="2012" width="9.42578125" style="203" customWidth="1"/>
    <col min="2013" max="2013" width="8.140625" style="203" customWidth="1"/>
    <col min="2014" max="2014" width="51.28515625" style="203" customWidth="1"/>
    <col min="2015" max="2015" width="11.7109375" style="203" customWidth="1"/>
    <col min="2016" max="2016" width="10.42578125" style="203" customWidth="1"/>
    <col min="2017" max="2017" width="10.5703125" style="203" customWidth="1"/>
    <col min="2018" max="2018" width="9.5703125" style="203" customWidth="1"/>
    <col min="2019" max="2019" width="37.140625" style="203" customWidth="1"/>
    <col min="2020" max="2020" width="10" style="203" customWidth="1"/>
    <col min="2021" max="2023" width="8.7109375" style="203" customWidth="1"/>
    <col min="2024" max="2024" width="28" style="203" customWidth="1"/>
    <col min="2025" max="2262" width="10" style="203"/>
    <col min="2263" max="2263" width="8.140625" style="203" customWidth="1"/>
    <col min="2264" max="2264" width="51.5703125" style="203" customWidth="1"/>
    <col min="2265" max="2267" width="10.5703125" style="203" customWidth="1"/>
    <col min="2268" max="2268" width="9.42578125" style="203" customWidth="1"/>
    <col min="2269" max="2269" width="8.140625" style="203" customWidth="1"/>
    <col min="2270" max="2270" width="51.28515625" style="203" customWidth="1"/>
    <col min="2271" max="2271" width="11.7109375" style="203" customWidth="1"/>
    <col min="2272" max="2272" width="10.42578125" style="203" customWidth="1"/>
    <col min="2273" max="2273" width="10.5703125" style="203" customWidth="1"/>
    <col min="2274" max="2274" width="9.5703125" style="203" customWidth="1"/>
    <col min="2275" max="2275" width="37.140625" style="203" customWidth="1"/>
    <col min="2276" max="2276" width="10" style="203" customWidth="1"/>
    <col min="2277" max="2279" width="8.7109375" style="203" customWidth="1"/>
    <col min="2280" max="2280" width="28" style="203" customWidth="1"/>
    <col min="2281" max="2518" width="10" style="203"/>
    <col min="2519" max="2519" width="8.140625" style="203" customWidth="1"/>
    <col min="2520" max="2520" width="51.5703125" style="203" customWidth="1"/>
    <col min="2521" max="2523" width="10.5703125" style="203" customWidth="1"/>
    <col min="2524" max="2524" width="9.42578125" style="203" customWidth="1"/>
    <col min="2525" max="2525" width="8.140625" style="203" customWidth="1"/>
    <col min="2526" max="2526" width="51.28515625" style="203" customWidth="1"/>
    <col min="2527" max="2527" width="11.7109375" style="203" customWidth="1"/>
    <col min="2528" max="2528" width="10.42578125" style="203" customWidth="1"/>
    <col min="2529" max="2529" width="10.5703125" style="203" customWidth="1"/>
    <col min="2530" max="2530" width="9.5703125" style="203" customWidth="1"/>
    <col min="2531" max="2531" width="37.140625" style="203" customWidth="1"/>
    <col min="2532" max="2532" width="10" style="203" customWidth="1"/>
    <col min="2533" max="2535" width="8.7109375" style="203" customWidth="1"/>
    <col min="2536" max="2536" width="28" style="203" customWidth="1"/>
    <col min="2537" max="2774" width="10" style="203"/>
    <col min="2775" max="2775" width="8.140625" style="203" customWidth="1"/>
    <col min="2776" max="2776" width="51.5703125" style="203" customWidth="1"/>
    <col min="2777" max="2779" width="10.5703125" style="203" customWidth="1"/>
    <col min="2780" max="2780" width="9.42578125" style="203" customWidth="1"/>
    <col min="2781" max="2781" width="8.140625" style="203" customWidth="1"/>
    <col min="2782" max="2782" width="51.28515625" style="203" customWidth="1"/>
    <col min="2783" max="2783" width="11.7109375" style="203" customWidth="1"/>
    <col min="2784" max="2784" width="10.42578125" style="203" customWidth="1"/>
    <col min="2785" max="2785" width="10.5703125" style="203" customWidth="1"/>
    <col min="2786" max="2786" width="9.5703125" style="203" customWidth="1"/>
    <col min="2787" max="2787" width="37.140625" style="203" customWidth="1"/>
    <col min="2788" max="2788" width="10" style="203" customWidth="1"/>
    <col min="2789" max="2791" width="8.7109375" style="203" customWidth="1"/>
    <col min="2792" max="2792" width="28" style="203" customWidth="1"/>
    <col min="2793" max="3030" width="10" style="203"/>
    <col min="3031" max="3031" width="8.140625" style="203" customWidth="1"/>
    <col min="3032" max="3032" width="51.5703125" style="203" customWidth="1"/>
    <col min="3033" max="3035" width="10.5703125" style="203" customWidth="1"/>
    <col min="3036" max="3036" width="9.42578125" style="203" customWidth="1"/>
    <col min="3037" max="3037" width="8.140625" style="203" customWidth="1"/>
    <col min="3038" max="3038" width="51.28515625" style="203" customWidth="1"/>
    <col min="3039" max="3039" width="11.7109375" style="203" customWidth="1"/>
    <col min="3040" max="3040" width="10.42578125" style="203" customWidth="1"/>
    <col min="3041" max="3041" width="10.5703125" style="203" customWidth="1"/>
    <col min="3042" max="3042" width="9.5703125" style="203" customWidth="1"/>
    <col min="3043" max="3043" width="37.140625" style="203" customWidth="1"/>
    <col min="3044" max="3044" width="10" style="203" customWidth="1"/>
    <col min="3045" max="3047" width="8.7109375" style="203" customWidth="1"/>
    <col min="3048" max="3048" width="28" style="203" customWidth="1"/>
    <col min="3049" max="3286" width="10" style="203"/>
    <col min="3287" max="3287" width="8.140625" style="203" customWidth="1"/>
    <col min="3288" max="3288" width="51.5703125" style="203" customWidth="1"/>
    <col min="3289" max="3291" width="10.5703125" style="203" customWidth="1"/>
    <col min="3292" max="3292" width="9.42578125" style="203" customWidth="1"/>
    <col min="3293" max="3293" width="8.140625" style="203" customWidth="1"/>
    <col min="3294" max="3294" width="51.28515625" style="203" customWidth="1"/>
    <col min="3295" max="3295" width="11.7109375" style="203" customWidth="1"/>
    <col min="3296" max="3296" width="10.42578125" style="203" customWidth="1"/>
    <col min="3297" max="3297" width="10.5703125" style="203" customWidth="1"/>
    <col min="3298" max="3298" width="9.5703125" style="203" customWidth="1"/>
    <col min="3299" max="3299" width="37.140625" style="203" customWidth="1"/>
    <col min="3300" max="3300" width="10" style="203" customWidth="1"/>
    <col min="3301" max="3303" width="8.7109375" style="203" customWidth="1"/>
    <col min="3304" max="3304" width="28" style="203" customWidth="1"/>
    <col min="3305" max="3542" width="10" style="203"/>
    <col min="3543" max="3543" width="8.140625" style="203" customWidth="1"/>
    <col min="3544" max="3544" width="51.5703125" style="203" customWidth="1"/>
    <col min="3545" max="3547" width="10.5703125" style="203" customWidth="1"/>
    <col min="3548" max="3548" width="9.42578125" style="203" customWidth="1"/>
    <col min="3549" max="3549" width="8.140625" style="203" customWidth="1"/>
    <col min="3550" max="3550" width="51.28515625" style="203" customWidth="1"/>
    <col min="3551" max="3551" width="11.7109375" style="203" customWidth="1"/>
    <col min="3552" max="3552" width="10.42578125" style="203" customWidth="1"/>
    <col min="3553" max="3553" width="10.5703125" style="203" customWidth="1"/>
    <col min="3554" max="3554" width="9.5703125" style="203" customWidth="1"/>
    <col min="3555" max="3555" width="37.140625" style="203" customWidth="1"/>
    <col min="3556" max="3556" width="10" style="203" customWidth="1"/>
    <col min="3557" max="3559" width="8.7109375" style="203" customWidth="1"/>
    <col min="3560" max="3560" width="28" style="203" customWidth="1"/>
    <col min="3561" max="3798" width="10" style="203"/>
    <col min="3799" max="3799" width="8.140625" style="203" customWidth="1"/>
    <col min="3800" max="3800" width="51.5703125" style="203" customWidth="1"/>
    <col min="3801" max="3803" width="10.5703125" style="203" customWidth="1"/>
    <col min="3804" max="3804" width="9.42578125" style="203" customWidth="1"/>
    <col min="3805" max="3805" width="8.140625" style="203" customWidth="1"/>
    <col min="3806" max="3806" width="51.28515625" style="203" customWidth="1"/>
    <col min="3807" max="3807" width="11.7109375" style="203" customWidth="1"/>
    <col min="3808" max="3808" width="10.42578125" style="203" customWidth="1"/>
    <col min="3809" max="3809" width="10.5703125" style="203" customWidth="1"/>
    <col min="3810" max="3810" width="9.5703125" style="203" customWidth="1"/>
    <col min="3811" max="3811" width="37.140625" style="203" customWidth="1"/>
    <col min="3812" max="3812" width="10" style="203" customWidth="1"/>
    <col min="3813" max="3815" width="8.7109375" style="203" customWidth="1"/>
    <col min="3816" max="3816" width="28" style="203" customWidth="1"/>
    <col min="3817" max="4054" width="10" style="203"/>
    <col min="4055" max="4055" width="8.140625" style="203" customWidth="1"/>
    <col min="4056" max="4056" width="51.5703125" style="203" customWidth="1"/>
    <col min="4057" max="4059" width="10.5703125" style="203" customWidth="1"/>
    <col min="4060" max="4060" width="9.42578125" style="203" customWidth="1"/>
    <col min="4061" max="4061" width="8.140625" style="203" customWidth="1"/>
    <col min="4062" max="4062" width="51.28515625" style="203" customWidth="1"/>
    <col min="4063" max="4063" width="11.7109375" style="203" customWidth="1"/>
    <col min="4064" max="4064" width="10.42578125" style="203" customWidth="1"/>
    <col min="4065" max="4065" width="10.5703125" style="203" customWidth="1"/>
    <col min="4066" max="4066" width="9.5703125" style="203" customWidth="1"/>
    <col min="4067" max="4067" width="37.140625" style="203" customWidth="1"/>
    <col min="4068" max="4068" width="10" style="203" customWidth="1"/>
    <col min="4069" max="4071" width="8.7109375" style="203" customWidth="1"/>
    <col min="4072" max="4072" width="28" style="203" customWidth="1"/>
    <col min="4073" max="4310" width="10" style="203"/>
    <col min="4311" max="4311" width="8.140625" style="203" customWidth="1"/>
    <col min="4312" max="4312" width="51.5703125" style="203" customWidth="1"/>
    <col min="4313" max="4315" width="10.5703125" style="203" customWidth="1"/>
    <col min="4316" max="4316" width="9.42578125" style="203" customWidth="1"/>
    <col min="4317" max="4317" width="8.140625" style="203" customWidth="1"/>
    <col min="4318" max="4318" width="51.28515625" style="203" customWidth="1"/>
    <col min="4319" max="4319" width="11.7109375" style="203" customWidth="1"/>
    <col min="4320" max="4320" width="10.42578125" style="203" customWidth="1"/>
    <col min="4321" max="4321" width="10.5703125" style="203" customWidth="1"/>
    <col min="4322" max="4322" width="9.5703125" style="203" customWidth="1"/>
    <col min="4323" max="4323" width="37.140625" style="203" customWidth="1"/>
    <col min="4324" max="4324" width="10" style="203" customWidth="1"/>
    <col min="4325" max="4327" width="8.7109375" style="203" customWidth="1"/>
    <col min="4328" max="4328" width="28" style="203" customWidth="1"/>
    <col min="4329" max="4566" width="10" style="203"/>
    <col min="4567" max="4567" width="8.140625" style="203" customWidth="1"/>
    <col min="4568" max="4568" width="51.5703125" style="203" customWidth="1"/>
    <col min="4569" max="4571" width="10.5703125" style="203" customWidth="1"/>
    <col min="4572" max="4572" width="9.42578125" style="203" customWidth="1"/>
    <col min="4573" max="4573" width="8.140625" style="203" customWidth="1"/>
    <col min="4574" max="4574" width="51.28515625" style="203" customWidth="1"/>
    <col min="4575" max="4575" width="11.7109375" style="203" customWidth="1"/>
    <col min="4576" max="4576" width="10.42578125" style="203" customWidth="1"/>
    <col min="4577" max="4577" width="10.5703125" style="203" customWidth="1"/>
    <col min="4578" max="4578" width="9.5703125" style="203" customWidth="1"/>
    <col min="4579" max="4579" width="37.140625" style="203" customWidth="1"/>
    <col min="4580" max="4580" width="10" style="203" customWidth="1"/>
    <col min="4581" max="4583" width="8.7109375" style="203" customWidth="1"/>
    <col min="4584" max="4584" width="28" style="203" customWidth="1"/>
    <col min="4585" max="4822" width="10" style="203"/>
    <col min="4823" max="4823" width="8.140625" style="203" customWidth="1"/>
    <col min="4824" max="4824" width="51.5703125" style="203" customWidth="1"/>
    <col min="4825" max="4827" width="10.5703125" style="203" customWidth="1"/>
    <col min="4828" max="4828" width="9.42578125" style="203" customWidth="1"/>
    <col min="4829" max="4829" width="8.140625" style="203" customWidth="1"/>
    <col min="4830" max="4830" width="51.28515625" style="203" customWidth="1"/>
    <col min="4831" max="4831" width="11.7109375" style="203" customWidth="1"/>
    <col min="4832" max="4832" width="10.42578125" style="203" customWidth="1"/>
    <col min="4833" max="4833" width="10.5703125" style="203" customWidth="1"/>
    <col min="4834" max="4834" width="9.5703125" style="203" customWidth="1"/>
    <col min="4835" max="4835" width="37.140625" style="203" customWidth="1"/>
    <col min="4836" max="4836" width="10" style="203" customWidth="1"/>
    <col min="4837" max="4839" width="8.7109375" style="203" customWidth="1"/>
    <col min="4840" max="4840" width="28" style="203" customWidth="1"/>
    <col min="4841" max="5078" width="10" style="203"/>
    <col min="5079" max="5079" width="8.140625" style="203" customWidth="1"/>
    <col min="5080" max="5080" width="51.5703125" style="203" customWidth="1"/>
    <col min="5081" max="5083" width="10.5703125" style="203" customWidth="1"/>
    <col min="5084" max="5084" width="9.42578125" style="203" customWidth="1"/>
    <col min="5085" max="5085" width="8.140625" style="203" customWidth="1"/>
    <col min="5086" max="5086" width="51.28515625" style="203" customWidth="1"/>
    <col min="5087" max="5087" width="11.7109375" style="203" customWidth="1"/>
    <col min="5088" max="5088" width="10.42578125" style="203" customWidth="1"/>
    <col min="5089" max="5089" width="10.5703125" style="203" customWidth="1"/>
    <col min="5090" max="5090" width="9.5703125" style="203" customWidth="1"/>
    <col min="5091" max="5091" width="37.140625" style="203" customWidth="1"/>
    <col min="5092" max="5092" width="10" style="203" customWidth="1"/>
    <col min="5093" max="5095" width="8.7109375" style="203" customWidth="1"/>
    <col min="5096" max="5096" width="28" style="203" customWidth="1"/>
    <col min="5097" max="5334" width="10" style="203"/>
    <col min="5335" max="5335" width="8.140625" style="203" customWidth="1"/>
    <col min="5336" max="5336" width="51.5703125" style="203" customWidth="1"/>
    <col min="5337" max="5339" width="10.5703125" style="203" customWidth="1"/>
    <col min="5340" max="5340" width="9.42578125" style="203" customWidth="1"/>
    <col min="5341" max="5341" width="8.140625" style="203" customWidth="1"/>
    <col min="5342" max="5342" width="51.28515625" style="203" customWidth="1"/>
    <col min="5343" max="5343" width="11.7109375" style="203" customWidth="1"/>
    <col min="5344" max="5344" width="10.42578125" style="203" customWidth="1"/>
    <col min="5345" max="5345" width="10.5703125" style="203" customWidth="1"/>
    <col min="5346" max="5346" width="9.5703125" style="203" customWidth="1"/>
    <col min="5347" max="5347" width="37.140625" style="203" customWidth="1"/>
    <col min="5348" max="5348" width="10" style="203" customWidth="1"/>
    <col min="5349" max="5351" width="8.7109375" style="203" customWidth="1"/>
    <col min="5352" max="5352" width="28" style="203" customWidth="1"/>
    <col min="5353" max="5590" width="10" style="203"/>
    <col min="5591" max="5591" width="8.140625" style="203" customWidth="1"/>
    <col min="5592" max="5592" width="51.5703125" style="203" customWidth="1"/>
    <col min="5593" max="5595" width="10.5703125" style="203" customWidth="1"/>
    <col min="5596" max="5596" width="9.42578125" style="203" customWidth="1"/>
    <col min="5597" max="5597" width="8.140625" style="203" customWidth="1"/>
    <col min="5598" max="5598" width="51.28515625" style="203" customWidth="1"/>
    <col min="5599" max="5599" width="11.7109375" style="203" customWidth="1"/>
    <col min="5600" max="5600" width="10.42578125" style="203" customWidth="1"/>
    <col min="5601" max="5601" width="10.5703125" style="203" customWidth="1"/>
    <col min="5602" max="5602" width="9.5703125" style="203" customWidth="1"/>
    <col min="5603" max="5603" width="37.140625" style="203" customWidth="1"/>
    <col min="5604" max="5604" width="10" style="203" customWidth="1"/>
    <col min="5605" max="5607" width="8.7109375" style="203" customWidth="1"/>
    <col min="5608" max="5608" width="28" style="203" customWidth="1"/>
    <col min="5609" max="5846" width="10" style="203"/>
    <col min="5847" max="5847" width="8.140625" style="203" customWidth="1"/>
    <col min="5848" max="5848" width="51.5703125" style="203" customWidth="1"/>
    <col min="5849" max="5851" width="10.5703125" style="203" customWidth="1"/>
    <col min="5852" max="5852" width="9.42578125" style="203" customWidth="1"/>
    <col min="5853" max="5853" width="8.140625" style="203" customWidth="1"/>
    <col min="5854" max="5854" width="51.28515625" style="203" customWidth="1"/>
    <col min="5855" max="5855" width="11.7109375" style="203" customWidth="1"/>
    <col min="5856" max="5856" width="10.42578125" style="203" customWidth="1"/>
    <col min="5857" max="5857" width="10.5703125" style="203" customWidth="1"/>
    <col min="5858" max="5858" width="9.5703125" style="203" customWidth="1"/>
    <col min="5859" max="5859" width="37.140625" style="203" customWidth="1"/>
    <col min="5860" max="5860" width="10" style="203" customWidth="1"/>
    <col min="5861" max="5863" width="8.7109375" style="203" customWidth="1"/>
    <col min="5864" max="5864" width="28" style="203" customWidth="1"/>
    <col min="5865" max="6102" width="10" style="203"/>
    <col min="6103" max="6103" width="8.140625" style="203" customWidth="1"/>
    <col min="6104" max="6104" width="51.5703125" style="203" customWidth="1"/>
    <col min="6105" max="6107" width="10.5703125" style="203" customWidth="1"/>
    <col min="6108" max="6108" width="9.42578125" style="203" customWidth="1"/>
    <col min="6109" max="6109" width="8.140625" style="203" customWidth="1"/>
    <col min="6110" max="6110" width="51.28515625" style="203" customWidth="1"/>
    <col min="6111" max="6111" width="11.7109375" style="203" customWidth="1"/>
    <col min="6112" max="6112" width="10.42578125" style="203" customWidth="1"/>
    <col min="6113" max="6113" width="10.5703125" style="203" customWidth="1"/>
    <col min="6114" max="6114" width="9.5703125" style="203" customWidth="1"/>
    <col min="6115" max="6115" width="37.140625" style="203" customWidth="1"/>
    <col min="6116" max="6116" width="10" style="203" customWidth="1"/>
    <col min="6117" max="6119" width="8.7109375" style="203" customWidth="1"/>
    <col min="6120" max="6120" width="28" style="203" customWidth="1"/>
    <col min="6121" max="6358" width="10" style="203"/>
    <col min="6359" max="6359" width="8.140625" style="203" customWidth="1"/>
    <col min="6360" max="6360" width="51.5703125" style="203" customWidth="1"/>
    <col min="6361" max="6363" width="10.5703125" style="203" customWidth="1"/>
    <col min="6364" max="6364" width="9.42578125" style="203" customWidth="1"/>
    <col min="6365" max="6365" width="8.140625" style="203" customWidth="1"/>
    <col min="6366" max="6366" width="51.28515625" style="203" customWidth="1"/>
    <col min="6367" max="6367" width="11.7109375" style="203" customWidth="1"/>
    <col min="6368" max="6368" width="10.42578125" style="203" customWidth="1"/>
    <col min="6369" max="6369" width="10.5703125" style="203" customWidth="1"/>
    <col min="6370" max="6370" width="9.5703125" style="203" customWidth="1"/>
    <col min="6371" max="6371" width="37.140625" style="203" customWidth="1"/>
    <col min="6372" max="6372" width="10" style="203" customWidth="1"/>
    <col min="6373" max="6375" width="8.7109375" style="203" customWidth="1"/>
    <col min="6376" max="6376" width="28" style="203" customWidth="1"/>
    <col min="6377" max="6614" width="10" style="203"/>
    <col min="6615" max="6615" width="8.140625" style="203" customWidth="1"/>
    <col min="6616" max="6616" width="51.5703125" style="203" customWidth="1"/>
    <col min="6617" max="6619" width="10.5703125" style="203" customWidth="1"/>
    <col min="6620" max="6620" width="9.42578125" style="203" customWidth="1"/>
    <col min="6621" max="6621" width="8.140625" style="203" customWidth="1"/>
    <col min="6622" max="6622" width="51.28515625" style="203" customWidth="1"/>
    <col min="6623" max="6623" width="11.7109375" style="203" customWidth="1"/>
    <col min="6624" max="6624" width="10.42578125" style="203" customWidth="1"/>
    <col min="6625" max="6625" width="10.5703125" style="203" customWidth="1"/>
    <col min="6626" max="6626" width="9.5703125" style="203" customWidth="1"/>
    <col min="6627" max="6627" width="37.140625" style="203" customWidth="1"/>
    <col min="6628" max="6628" width="10" style="203" customWidth="1"/>
    <col min="6629" max="6631" width="8.7109375" style="203" customWidth="1"/>
    <col min="6632" max="6632" width="28" style="203" customWidth="1"/>
    <col min="6633" max="6870" width="10" style="203"/>
    <col min="6871" max="6871" width="8.140625" style="203" customWidth="1"/>
    <col min="6872" max="6872" width="51.5703125" style="203" customWidth="1"/>
    <col min="6873" max="6875" width="10.5703125" style="203" customWidth="1"/>
    <col min="6876" max="6876" width="9.42578125" style="203" customWidth="1"/>
    <col min="6877" max="6877" width="8.140625" style="203" customWidth="1"/>
    <col min="6878" max="6878" width="51.28515625" style="203" customWidth="1"/>
    <col min="6879" max="6879" width="11.7109375" style="203" customWidth="1"/>
    <col min="6880" max="6880" width="10.42578125" style="203" customWidth="1"/>
    <col min="6881" max="6881" width="10.5703125" style="203" customWidth="1"/>
    <col min="6882" max="6882" width="9.5703125" style="203" customWidth="1"/>
    <col min="6883" max="6883" width="37.140625" style="203" customWidth="1"/>
    <col min="6884" max="6884" width="10" style="203" customWidth="1"/>
    <col min="6885" max="6887" width="8.7109375" style="203" customWidth="1"/>
    <col min="6888" max="6888" width="28" style="203" customWidth="1"/>
    <col min="6889" max="7126" width="10" style="203"/>
    <col min="7127" max="7127" width="8.140625" style="203" customWidth="1"/>
    <col min="7128" max="7128" width="51.5703125" style="203" customWidth="1"/>
    <col min="7129" max="7131" width="10.5703125" style="203" customWidth="1"/>
    <col min="7132" max="7132" width="9.42578125" style="203" customWidth="1"/>
    <col min="7133" max="7133" width="8.140625" style="203" customWidth="1"/>
    <col min="7134" max="7134" width="51.28515625" style="203" customWidth="1"/>
    <col min="7135" max="7135" width="11.7109375" style="203" customWidth="1"/>
    <col min="7136" max="7136" width="10.42578125" style="203" customWidth="1"/>
    <col min="7137" max="7137" width="10.5703125" style="203" customWidth="1"/>
    <col min="7138" max="7138" width="9.5703125" style="203" customWidth="1"/>
    <col min="7139" max="7139" width="37.140625" style="203" customWidth="1"/>
    <col min="7140" max="7140" width="10" style="203" customWidth="1"/>
    <col min="7141" max="7143" width="8.7109375" style="203" customWidth="1"/>
    <col min="7144" max="7144" width="28" style="203" customWidth="1"/>
    <col min="7145" max="7382" width="10" style="203"/>
    <col min="7383" max="7383" width="8.140625" style="203" customWidth="1"/>
    <col min="7384" max="7384" width="51.5703125" style="203" customWidth="1"/>
    <col min="7385" max="7387" width="10.5703125" style="203" customWidth="1"/>
    <col min="7388" max="7388" width="9.42578125" style="203" customWidth="1"/>
    <col min="7389" max="7389" width="8.140625" style="203" customWidth="1"/>
    <col min="7390" max="7390" width="51.28515625" style="203" customWidth="1"/>
    <col min="7391" max="7391" width="11.7109375" style="203" customWidth="1"/>
    <col min="7392" max="7392" width="10.42578125" style="203" customWidth="1"/>
    <col min="7393" max="7393" width="10.5703125" style="203" customWidth="1"/>
    <col min="7394" max="7394" width="9.5703125" style="203" customWidth="1"/>
    <col min="7395" max="7395" width="37.140625" style="203" customWidth="1"/>
    <col min="7396" max="7396" width="10" style="203" customWidth="1"/>
    <col min="7397" max="7399" width="8.7109375" style="203" customWidth="1"/>
    <col min="7400" max="7400" width="28" style="203" customWidth="1"/>
    <col min="7401" max="7638" width="10" style="203"/>
    <col min="7639" max="7639" width="8.140625" style="203" customWidth="1"/>
    <col min="7640" max="7640" width="51.5703125" style="203" customWidth="1"/>
    <col min="7641" max="7643" width="10.5703125" style="203" customWidth="1"/>
    <col min="7644" max="7644" width="9.42578125" style="203" customWidth="1"/>
    <col min="7645" max="7645" width="8.140625" style="203" customWidth="1"/>
    <col min="7646" max="7646" width="51.28515625" style="203" customWidth="1"/>
    <col min="7647" max="7647" width="11.7109375" style="203" customWidth="1"/>
    <col min="7648" max="7648" width="10.42578125" style="203" customWidth="1"/>
    <col min="7649" max="7649" width="10.5703125" style="203" customWidth="1"/>
    <col min="7650" max="7650" width="9.5703125" style="203" customWidth="1"/>
    <col min="7651" max="7651" width="37.140625" style="203" customWidth="1"/>
    <col min="7652" max="7652" width="10" style="203" customWidth="1"/>
    <col min="7653" max="7655" width="8.7109375" style="203" customWidth="1"/>
    <col min="7656" max="7656" width="28" style="203" customWidth="1"/>
    <col min="7657" max="7894" width="10" style="203"/>
    <col min="7895" max="7895" width="8.140625" style="203" customWidth="1"/>
    <col min="7896" max="7896" width="51.5703125" style="203" customWidth="1"/>
    <col min="7897" max="7899" width="10.5703125" style="203" customWidth="1"/>
    <col min="7900" max="7900" width="9.42578125" style="203" customWidth="1"/>
    <col min="7901" max="7901" width="8.140625" style="203" customWidth="1"/>
    <col min="7902" max="7902" width="51.28515625" style="203" customWidth="1"/>
    <col min="7903" max="7903" width="11.7109375" style="203" customWidth="1"/>
    <col min="7904" max="7904" width="10.42578125" style="203" customWidth="1"/>
    <col min="7905" max="7905" width="10.5703125" style="203" customWidth="1"/>
    <col min="7906" max="7906" width="9.5703125" style="203" customWidth="1"/>
    <col min="7907" max="7907" width="37.140625" style="203" customWidth="1"/>
    <col min="7908" max="7908" width="10" style="203" customWidth="1"/>
    <col min="7909" max="7911" width="8.7109375" style="203" customWidth="1"/>
    <col min="7912" max="7912" width="28" style="203" customWidth="1"/>
    <col min="7913" max="8150" width="10" style="203"/>
    <col min="8151" max="8151" width="8.140625" style="203" customWidth="1"/>
    <col min="8152" max="8152" width="51.5703125" style="203" customWidth="1"/>
    <col min="8153" max="8155" width="10.5703125" style="203" customWidth="1"/>
    <col min="8156" max="8156" width="9.42578125" style="203" customWidth="1"/>
    <col min="8157" max="8157" width="8.140625" style="203" customWidth="1"/>
    <col min="8158" max="8158" width="51.28515625" style="203" customWidth="1"/>
    <col min="8159" max="8159" width="11.7109375" style="203" customWidth="1"/>
    <col min="8160" max="8160" width="10.42578125" style="203" customWidth="1"/>
    <col min="8161" max="8161" width="10.5703125" style="203" customWidth="1"/>
    <col min="8162" max="8162" width="9.5703125" style="203" customWidth="1"/>
    <col min="8163" max="8163" width="37.140625" style="203" customWidth="1"/>
    <col min="8164" max="8164" width="10" style="203" customWidth="1"/>
    <col min="8165" max="8167" width="8.7109375" style="203" customWidth="1"/>
    <col min="8168" max="8168" width="28" style="203" customWidth="1"/>
    <col min="8169" max="8406" width="10" style="203"/>
    <col min="8407" max="8407" width="8.140625" style="203" customWidth="1"/>
    <col min="8408" max="8408" width="51.5703125" style="203" customWidth="1"/>
    <col min="8409" max="8411" width="10.5703125" style="203" customWidth="1"/>
    <col min="8412" max="8412" width="9.42578125" style="203" customWidth="1"/>
    <col min="8413" max="8413" width="8.140625" style="203" customWidth="1"/>
    <col min="8414" max="8414" width="51.28515625" style="203" customWidth="1"/>
    <col min="8415" max="8415" width="11.7109375" style="203" customWidth="1"/>
    <col min="8416" max="8416" width="10.42578125" style="203" customWidth="1"/>
    <col min="8417" max="8417" width="10.5703125" style="203" customWidth="1"/>
    <col min="8418" max="8418" width="9.5703125" style="203" customWidth="1"/>
    <col min="8419" max="8419" width="37.140625" style="203" customWidth="1"/>
    <col min="8420" max="8420" width="10" style="203" customWidth="1"/>
    <col min="8421" max="8423" width="8.7109375" style="203" customWidth="1"/>
    <col min="8424" max="8424" width="28" style="203" customWidth="1"/>
    <col min="8425" max="8662" width="10" style="203"/>
    <col min="8663" max="8663" width="8.140625" style="203" customWidth="1"/>
    <col min="8664" max="8664" width="51.5703125" style="203" customWidth="1"/>
    <col min="8665" max="8667" width="10.5703125" style="203" customWidth="1"/>
    <col min="8668" max="8668" width="9.42578125" style="203" customWidth="1"/>
    <col min="8669" max="8669" width="8.140625" style="203" customWidth="1"/>
    <col min="8670" max="8670" width="51.28515625" style="203" customWidth="1"/>
    <col min="8671" max="8671" width="11.7109375" style="203" customWidth="1"/>
    <col min="8672" max="8672" width="10.42578125" style="203" customWidth="1"/>
    <col min="8673" max="8673" width="10.5703125" style="203" customWidth="1"/>
    <col min="8674" max="8674" width="9.5703125" style="203" customWidth="1"/>
    <col min="8675" max="8675" width="37.140625" style="203" customWidth="1"/>
    <col min="8676" max="8676" width="10" style="203" customWidth="1"/>
    <col min="8677" max="8679" width="8.7109375" style="203" customWidth="1"/>
    <col min="8680" max="8680" width="28" style="203" customWidth="1"/>
    <col min="8681" max="8918" width="10" style="203"/>
    <col min="8919" max="8919" width="8.140625" style="203" customWidth="1"/>
    <col min="8920" max="8920" width="51.5703125" style="203" customWidth="1"/>
    <col min="8921" max="8923" width="10.5703125" style="203" customWidth="1"/>
    <col min="8924" max="8924" width="9.42578125" style="203" customWidth="1"/>
    <col min="8925" max="8925" width="8.140625" style="203" customWidth="1"/>
    <col min="8926" max="8926" width="51.28515625" style="203" customWidth="1"/>
    <col min="8927" max="8927" width="11.7109375" style="203" customWidth="1"/>
    <col min="8928" max="8928" width="10.42578125" style="203" customWidth="1"/>
    <col min="8929" max="8929" width="10.5703125" style="203" customWidth="1"/>
    <col min="8930" max="8930" width="9.5703125" style="203" customWidth="1"/>
    <col min="8931" max="8931" width="37.140625" style="203" customWidth="1"/>
    <col min="8932" max="8932" width="10" style="203" customWidth="1"/>
    <col min="8933" max="8935" width="8.7109375" style="203" customWidth="1"/>
    <col min="8936" max="8936" width="28" style="203" customWidth="1"/>
    <col min="8937" max="9174" width="10" style="203"/>
    <col min="9175" max="9175" width="8.140625" style="203" customWidth="1"/>
    <col min="9176" max="9176" width="51.5703125" style="203" customWidth="1"/>
    <col min="9177" max="9179" width="10.5703125" style="203" customWidth="1"/>
    <col min="9180" max="9180" width="9.42578125" style="203" customWidth="1"/>
    <col min="9181" max="9181" width="8.140625" style="203" customWidth="1"/>
    <col min="9182" max="9182" width="51.28515625" style="203" customWidth="1"/>
    <col min="9183" max="9183" width="11.7109375" style="203" customWidth="1"/>
    <col min="9184" max="9184" width="10.42578125" style="203" customWidth="1"/>
    <col min="9185" max="9185" width="10.5703125" style="203" customWidth="1"/>
    <col min="9186" max="9186" width="9.5703125" style="203" customWidth="1"/>
    <col min="9187" max="9187" width="37.140625" style="203" customWidth="1"/>
    <col min="9188" max="9188" width="10" style="203" customWidth="1"/>
    <col min="9189" max="9191" width="8.7109375" style="203" customWidth="1"/>
    <col min="9192" max="9192" width="28" style="203" customWidth="1"/>
    <col min="9193" max="9430" width="10" style="203"/>
    <col min="9431" max="9431" width="8.140625" style="203" customWidth="1"/>
    <col min="9432" max="9432" width="51.5703125" style="203" customWidth="1"/>
    <col min="9433" max="9435" width="10.5703125" style="203" customWidth="1"/>
    <col min="9436" max="9436" width="9.42578125" style="203" customWidth="1"/>
    <col min="9437" max="9437" width="8.140625" style="203" customWidth="1"/>
    <col min="9438" max="9438" width="51.28515625" style="203" customWidth="1"/>
    <col min="9439" max="9439" width="11.7109375" style="203" customWidth="1"/>
    <col min="9440" max="9440" width="10.42578125" style="203" customWidth="1"/>
    <col min="9441" max="9441" width="10.5703125" style="203" customWidth="1"/>
    <col min="9442" max="9442" width="9.5703125" style="203" customWidth="1"/>
    <col min="9443" max="9443" width="37.140625" style="203" customWidth="1"/>
    <col min="9444" max="9444" width="10" style="203" customWidth="1"/>
    <col min="9445" max="9447" width="8.7109375" style="203" customWidth="1"/>
    <col min="9448" max="9448" width="28" style="203" customWidth="1"/>
    <col min="9449" max="9686" width="10" style="203"/>
    <col min="9687" max="9687" width="8.140625" style="203" customWidth="1"/>
    <col min="9688" max="9688" width="51.5703125" style="203" customWidth="1"/>
    <col min="9689" max="9691" width="10.5703125" style="203" customWidth="1"/>
    <col min="9692" max="9692" width="9.42578125" style="203" customWidth="1"/>
    <col min="9693" max="9693" width="8.140625" style="203" customWidth="1"/>
    <col min="9694" max="9694" width="51.28515625" style="203" customWidth="1"/>
    <col min="9695" max="9695" width="11.7109375" style="203" customWidth="1"/>
    <col min="9696" max="9696" width="10.42578125" style="203" customWidth="1"/>
    <col min="9697" max="9697" width="10.5703125" style="203" customWidth="1"/>
    <col min="9698" max="9698" width="9.5703125" style="203" customWidth="1"/>
    <col min="9699" max="9699" width="37.140625" style="203" customWidth="1"/>
    <col min="9700" max="9700" width="10" style="203" customWidth="1"/>
    <col min="9701" max="9703" width="8.7109375" style="203" customWidth="1"/>
    <col min="9704" max="9704" width="28" style="203" customWidth="1"/>
    <col min="9705" max="9942" width="10" style="203"/>
    <col min="9943" max="9943" width="8.140625" style="203" customWidth="1"/>
    <col min="9944" max="9944" width="51.5703125" style="203" customWidth="1"/>
    <col min="9945" max="9947" width="10.5703125" style="203" customWidth="1"/>
    <col min="9948" max="9948" width="9.42578125" style="203" customWidth="1"/>
    <col min="9949" max="9949" width="8.140625" style="203" customWidth="1"/>
    <col min="9950" max="9950" width="51.28515625" style="203" customWidth="1"/>
    <col min="9951" max="9951" width="11.7109375" style="203" customWidth="1"/>
    <col min="9952" max="9952" width="10.42578125" style="203" customWidth="1"/>
    <col min="9953" max="9953" width="10.5703125" style="203" customWidth="1"/>
    <col min="9954" max="9954" width="9.5703125" style="203" customWidth="1"/>
    <col min="9955" max="9955" width="37.140625" style="203" customWidth="1"/>
    <col min="9956" max="9956" width="10" style="203" customWidth="1"/>
    <col min="9957" max="9959" width="8.7109375" style="203" customWidth="1"/>
    <col min="9960" max="9960" width="28" style="203" customWidth="1"/>
    <col min="9961" max="10198" width="10" style="203"/>
    <col min="10199" max="10199" width="8.140625" style="203" customWidth="1"/>
    <col min="10200" max="10200" width="51.5703125" style="203" customWidth="1"/>
    <col min="10201" max="10203" width="10.5703125" style="203" customWidth="1"/>
    <col min="10204" max="10204" width="9.42578125" style="203" customWidth="1"/>
    <col min="10205" max="10205" width="8.140625" style="203" customWidth="1"/>
    <col min="10206" max="10206" width="51.28515625" style="203" customWidth="1"/>
    <col min="10207" max="10207" width="11.7109375" style="203" customWidth="1"/>
    <col min="10208" max="10208" width="10.42578125" style="203" customWidth="1"/>
    <col min="10209" max="10209" width="10.5703125" style="203" customWidth="1"/>
    <col min="10210" max="10210" width="9.5703125" style="203" customWidth="1"/>
    <col min="10211" max="10211" width="37.140625" style="203" customWidth="1"/>
    <col min="10212" max="10212" width="10" style="203" customWidth="1"/>
    <col min="10213" max="10215" width="8.7109375" style="203" customWidth="1"/>
    <col min="10216" max="10216" width="28" style="203" customWidth="1"/>
    <col min="10217" max="10454" width="10" style="203"/>
    <col min="10455" max="10455" width="8.140625" style="203" customWidth="1"/>
    <col min="10456" max="10456" width="51.5703125" style="203" customWidth="1"/>
    <col min="10457" max="10459" width="10.5703125" style="203" customWidth="1"/>
    <col min="10460" max="10460" width="9.42578125" style="203" customWidth="1"/>
    <col min="10461" max="10461" width="8.140625" style="203" customWidth="1"/>
    <col min="10462" max="10462" width="51.28515625" style="203" customWidth="1"/>
    <col min="10463" max="10463" width="11.7109375" style="203" customWidth="1"/>
    <col min="10464" max="10464" width="10.42578125" style="203" customWidth="1"/>
    <col min="10465" max="10465" width="10.5703125" style="203" customWidth="1"/>
    <col min="10466" max="10466" width="9.5703125" style="203" customWidth="1"/>
    <col min="10467" max="10467" width="37.140625" style="203" customWidth="1"/>
    <col min="10468" max="10468" width="10" style="203" customWidth="1"/>
    <col min="10469" max="10471" width="8.7109375" style="203" customWidth="1"/>
    <col min="10472" max="10472" width="28" style="203" customWidth="1"/>
    <col min="10473" max="10710" width="10" style="203"/>
    <col min="10711" max="10711" width="8.140625" style="203" customWidth="1"/>
    <col min="10712" max="10712" width="51.5703125" style="203" customWidth="1"/>
    <col min="10713" max="10715" width="10.5703125" style="203" customWidth="1"/>
    <col min="10716" max="10716" width="9.42578125" style="203" customWidth="1"/>
    <col min="10717" max="10717" width="8.140625" style="203" customWidth="1"/>
    <col min="10718" max="10718" width="51.28515625" style="203" customWidth="1"/>
    <col min="10719" max="10719" width="11.7109375" style="203" customWidth="1"/>
    <col min="10720" max="10720" width="10.42578125" style="203" customWidth="1"/>
    <col min="10721" max="10721" width="10.5703125" style="203" customWidth="1"/>
    <col min="10722" max="10722" width="9.5703125" style="203" customWidth="1"/>
    <col min="10723" max="10723" width="37.140625" style="203" customWidth="1"/>
    <col min="10724" max="10724" width="10" style="203" customWidth="1"/>
    <col min="10725" max="10727" width="8.7109375" style="203" customWidth="1"/>
    <col min="10728" max="10728" width="28" style="203" customWidth="1"/>
    <col min="10729" max="10966" width="10" style="203"/>
    <col min="10967" max="10967" width="8.140625" style="203" customWidth="1"/>
    <col min="10968" max="10968" width="51.5703125" style="203" customWidth="1"/>
    <col min="10969" max="10971" width="10.5703125" style="203" customWidth="1"/>
    <col min="10972" max="10972" width="9.42578125" style="203" customWidth="1"/>
    <col min="10973" max="10973" width="8.140625" style="203" customWidth="1"/>
    <col min="10974" max="10974" width="51.28515625" style="203" customWidth="1"/>
    <col min="10975" max="10975" width="11.7109375" style="203" customWidth="1"/>
    <col min="10976" max="10976" width="10.42578125" style="203" customWidth="1"/>
    <col min="10977" max="10977" width="10.5703125" style="203" customWidth="1"/>
    <col min="10978" max="10978" width="9.5703125" style="203" customWidth="1"/>
    <col min="10979" max="10979" width="37.140625" style="203" customWidth="1"/>
    <col min="10980" max="10980" width="10" style="203" customWidth="1"/>
    <col min="10981" max="10983" width="8.7109375" style="203" customWidth="1"/>
    <col min="10984" max="10984" width="28" style="203" customWidth="1"/>
    <col min="10985" max="11222" width="10" style="203"/>
    <col min="11223" max="11223" width="8.140625" style="203" customWidth="1"/>
    <col min="11224" max="11224" width="51.5703125" style="203" customWidth="1"/>
    <col min="11225" max="11227" width="10.5703125" style="203" customWidth="1"/>
    <col min="11228" max="11228" width="9.42578125" style="203" customWidth="1"/>
    <col min="11229" max="11229" width="8.140625" style="203" customWidth="1"/>
    <col min="11230" max="11230" width="51.28515625" style="203" customWidth="1"/>
    <col min="11231" max="11231" width="11.7109375" style="203" customWidth="1"/>
    <col min="11232" max="11232" width="10.42578125" style="203" customWidth="1"/>
    <col min="11233" max="11233" width="10.5703125" style="203" customWidth="1"/>
    <col min="11234" max="11234" width="9.5703125" style="203" customWidth="1"/>
    <col min="11235" max="11235" width="37.140625" style="203" customWidth="1"/>
    <col min="11236" max="11236" width="10" style="203" customWidth="1"/>
    <col min="11237" max="11239" width="8.7109375" style="203" customWidth="1"/>
    <col min="11240" max="11240" width="28" style="203" customWidth="1"/>
    <col min="11241" max="11478" width="10" style="203"/>
    <col min="11479" max="11479" width="8.140625" style="203" customWidth="1"/>
    <col min="11480" max="11480" width="51.5703125" style="203" customWidth="1"/>
    <col min="11481" max="11483" width="10.5703125" style="203" customWidth="1"/>
    <col min="11484" max="11484" width="9.42578125" style="203" customWidth="1"/>
    <col min="11485" max="11485" width="8.140625" style="203" customWidth="1"/>
    <col min="11486" max="11486" width="51.28515625" style="203" customWidth="1"/>
    <col min="11487" max="11487" width="11.7109375" style="203" customWidth="1"/>
    <col min="11488" max="11488" width="10.42578125" style="203" customWidth="1"/>
    <col min="11489" max="11489" width="10.5703125" style="203" customWidth="1"/>
    <col min="11490" max="11490" width="9.5703125" style="203" customWidth="1"/>
    <col min="11491" max="11491" width="37.140625" style="203" customWidth="1"/>
    <col min="11492" max="11492" width="10" style="203" customWidth="1"/>
    <col min="11493" max="11495" width="8.7109375" style="203" customWidth="1"/>
    <col min="11496" max="11496" width="28" style="203" customWidth="1"/>
    <col min="11497" max="11734" width="10" style="203"/>
    <col min="11735" max="11735" width="8.140625" style="203" customWidth="1"/>
    <col min="11736" max="11736" width="51.5703125" style="203" customWidth="1"/>
    <col min="11737" max="11739" width="10.5703125" style="203" customWidth="1"/>
    <col min="11740" max="11740" width="9.42578125" style="203" customWidth="1"/>
    <col min="11741" max="11741" width="8.140625" style="203" customWidth="1"/>
    <col min="11742" max="11742" width="51.28515625" style="203" customWidth="1"/>
    <col min="11743" max="11743" width="11.7109375" style="203" customWidth="1"/>
    <col min="11744" max="11744" width="10.42578125" style="203" customWidth="1"/>
    <col min="11745" max="11745" width="10.5703125" style="203" customWidth="1"/>
    <col min="11746" max="11746" width="9.5703125" style="203" customWidth="1"/>
    <col min="11747" max="11747" width="37.140625" style="203" customWidth="1"/>
    <col min="11748" max="11748" width="10" style="203" customWidth="1"/>
    <col min="11749" max="11751" width="8.7109375" style="203" customWidth="1"/>
    <col min="11752" max="11752" width="28" style="203" customWidth="1"/>
    <col min="11753" max="11990" width="10" style="203"/>
    <col min="11991" max="11991" width="8.140625" style="203" customWidth="1"/>
    <col min="11992" max="11992" width="51.5703125" style="203" customWidth="1"/>
    <col min="11993" max="11995" width="10.5703125" style="203" customWidth="1"/>
    <col min="11996" max="11996" width="9.42578125" style="203" customWidth="1"/>
    <col min="11997" max="11997" width="8.140625" style="203" customWidth="1"/>
    <col min="11998" max="11998" width="51.28515625" style="203" customWidth="1"/>
    <col min="11999" max="11999" width="11.7109375" style="203" customWidth="1"/>
    <col min="12000" max="12000" width="10.42578125" style="203" customWidth="1"/>
    <col min="12001" max="12001" width="10.5703125" style="203" customWidth="1"/>
    <col min="12002" max="12002" width="9.5703125" style="203" customWidth="1"/>
    <col min="12003" max="12003" width="37.140625" style="203" customWidth="1"/>
    <col min="12004" max="12004" width="10" style="203" customWidth="1"/>
    <col min="12005" max="12007" width="8.7109375" style="203" customWidth="1"/>
    <col min="12008" max="12008" width="28" style="203" customWidth="1"/>
    <col min="12009" max="12246" width="10" style="203"/>
    <col min="12247" max="12247" width="8.140625" style="203" customWidth="1"/>
    <col min="12248" max="12248" width="51.5703125" style="203" customWidth="1"/>
    <col min="12249" max="12251" width="10.5703125" style="203" customWidth="1"/>
    <col min="12252" max="12252" width="9.42578125" style="203" customWidth="1"/>
    <col min="12253" max="12253" width="8.140625" style="203" customWidth="1"/>
    <col min="12254" max="12254" width="51.28515625" style="203" customWidth="1"/>
    <col min="12255" max="12255" width="11.7109375" style="203" customWidth="1"/>
    <col min="12256" max="12256" width="10.42578125" style="203" customWidth="1"/>
    <col min="12257" max="12257" width="10.5703125" style="203" customWidth="1"/>
    <col min="12258" max="12258" width="9.5703125" style="203" customWidth="1"/>
    <col min="12259" max="12259" width="37.140625" style="203" customWidth="1"/>
    <col min="12260" max="12260" width="10" style="203" customWidth="1"/>
    <col min="12261" max="12263" width="8.7109375" style="203" customWidth="1"/>
    <col min="12264" max="12264" width="28" style="203" customWidth="1"/>
    <col min="12265" max="12502" width="10" style="203"/>
    <col min="12503" max="12503" width="8.140625" style="203" customWidth="1"/>
    <col min="12504" max="12504" width="51.5703125" style="203" customWidth="1"/>
    <col min="12505" max="12507" width="10.5703125" style="203" customWidth="1"/>
    <col min="12508" max="12508" width="9.42578125" style="203" customWidth="1"/>
    <col min="12509" max="12509" width="8.140625" style="203" customWidth="1"/>
    <col min="12510" max="12510" width="51.28515625" style="203" customWidth="1"/>
    <col min="12511" max="12511" width="11.7109375" style="203" customWidth="1"/>
    <col min="12512" max="12512" width="10.42578125" style="203" customWidth="1"/>
    <col min="12513" max="12513" width="10.5703125" style="203" customWidth="1"/>
    <col min="12514" max="12514" width="9.5703125" style="203" customWidth="1"/>
    <col min="12515" max="12515" width="37.140625" style="203" customWidth="1"/>
    <col min="12516" max="12516" width="10" style="203" customWidth="1"/>
    <col min="12517" max="12519" width="8.7109375" style="203" customWidth="1"/>
    <col min="12520" max="12520" width="28" style="203" customWidth="1"/>
    <col min="12521" max="12758" width="10" style="203"/>
    <col min="12759" max="12759" width="8.140625" style="203" customWidth="1"/>
    <col min="12760" max="12760" width="51.5703125" style="203" customWidth="1"/>
    <col min="12761" max="12763" width="10.5703125" style="203" customWidth="1"/>
    <col min="12764" max="12764" width="9.42578125" style="203" customWidth="1"/>
    <col min="12765" max="12765" width="8.140625" style="203" customWidth="1"/>
    <col min="12766" max="12766" width="51.28515625" style="203" customWidth="1"/>
    <col min="12767" max="12767" width="11.7109375" style="203" customWidth="1"/>
    <col min="12768" max="12768" width="10.42578125" style="203" customWidth="1"/>
    <col min="12769" max="12769" width="10.5703125" style="203" customWidth="1"/>
    <col min="12770" max="12770" width="9.5703125" style="203" customWidth="1"/>
    <col min="12771" max="12771" width="37.140625" style="203" customWidth="1"/>
    <col min="12772" max="12772" width="10" style="203" customWidth="1"/>
    <col min="12773" max="12775" width="8.7109375" style="203" customWidth="1"/>
    <col min="12776" max="12776" width="28" style="203" customWidth="1"/>
    <col min="12777" max="13014" width="10" style="203"/>
    <col min="13015" max="13015" width="8.140625" style="203" customWidth="1"/>
    <col min="13016" max="13016" width="51.5703125" style="203" customWidth="1"/>
    <col min="13017" max="13019" width="10.5703125" style="203" customWidth="1"/>
    <col min="13020" max="13020" width="9.42578125" style="203" customWidth="1"/>
    <col min="13021" max="13021" width="8.140625" style="203" customWidth="1"/>
    <col min="13022" max="13022" width="51.28515625" style="203" customWidth="1"/>
    <col min="13023" max="13023" width="11.7109375" style="203" customWidth="1"/>
    <col min="13024" max="13024" width="10.42578125" style="203" customWidth="1"/>
    <col min="13025" max="13025" width="10.5703125" style="203" customWidth="1"/>
    <col min="13026" max="13026" width="9.5703125" style="203" customWidth="1"/>
    <col min="13027" max="13027" width="37.140625" style="203" customWidth="1"/>
    <col min="13028" max="13028" width="10" style="203" customWidth="1"/>
    <col min="13029" max="13031" width="8.7109375" style="203" customWidth="1"/>
    <col min="13032" max="13032" width="28" style="203" customWidth="1"/>
    <col min="13033" max="13270" width="10" style="203"/>
    <col min="13271" max="13271" width="8.140625" style="203" customWidth="1"/>
    <col min="13272" max="13272" width="51.5703125" style="203" customWidth="1"/>
    <col min="13273" max="13275" width="10.5703125" style="203" customWidth="1"/>
    <col min="13276" max="13276" width="9.42578125" style="203" customWidth="1"/>
    <col min="13277" max="13277" width="8.140625" style="203" customWidth="1"/>
    <col min="13278" max="13278" width="51.28515625" style="203" customWidth="1"/>
    <col min="13279" max="13279" width="11.7109375" style="203" customWidth="1"/>
    <col min="13280" max="13280" width="10.42578125" style="203" customWidth="1"/>
    <col min="13281" max="13281" width="10.5703125" style="203" customWidth="1"/>
    <col min="13282" max="13282" width="9.5703125" style="203" customWidth="1"/>
    <col min="13283" max="13283" width="37.140625" style="203" customWidth="1"/>
    <col min="13284" max="13284" width="10" style="203" customWidth="1"/>
    <col min="13285" max="13287" width="8.7109375" style="203" customWidth="1"/>
    <col min="13288" max="13288" width="28" style="203" customWidth="1"/>
    <col min="13289" max="13526" width="10" style="203"/>
    <col min="13527" max="13527" width="8.140625" style="203" customWidth="1"/>
    <col min="13528" max="13528" width="51.5703125" style="203" customWidth="1"/>
    <col min="13529" max="13531" width="10.5703125" style="203" customWidth="1"/>
    <col min="13532" max="13532" width="9.42578125" style="203" customWidth="1"/>
    <col min="13533" max="13533" width="8.140625" style="203" customWidth="1"/>
    <col min="13534" max="13534" width="51.28515625" style="203" customWidth="1"/>
    <col min="13535" max="13535" width="11.7109375" style="203" customWidth="1"/>
    <col min="13536" max="13536" width="10.42578125" style="203" customWidth="1"/>
    <col min="13537" max="13537" width="10.5703125" style="203" customWidth="1"/>
    <col min="13538" max="13538" width="9.5703125" style="203" customWidth="1"/>
    <col min="13539" max="13539" width="37.140625" style="203" customWidth="1"/>
    <col min="13540" max="13540" width="10" style="203" customWidth="1"/>
    <col min="13541" max="13543" width="8.7109375" style="203" customWidth="1"/>
    <col min="13544" max="13544" width="28" style="203" customWidth="1"/>
    <col min="13545" max="13782" width="10" style="203"/>
    <col min="13783" max="13783" width="8.140625" style="203" customWidth="1"/>
    <col min="13784" max="13784" width="51.5703125" style="203" customWidth="1"/>
    <col min="13785" max="13787" width="10.5703125" style="203" customWidth="1"/>
    <col min="13788" max="13788" width="9.42578125" style="203" customWidth="1"/>
    <col min="13789" max="13789" width="8.140625" style="203" customWidth="1"/>
    <col min="13790" max="13790" width="51.28515625" style="203" customWidth="1"/>
    <col min="13791" max="13791" width="11.7109375" style="203" customWidth="1"/>
    <col min="13792" max="13792" width="10.42578125" style="203" customWidth="1"/>
    <col min="13793" max="13793" width="10.5703125" style="203" customWidth="1"/>
    <col min="13794" max="13794" width="9.5703125" style="203" customWidth="1"/>
    <col min="13795" max="13795" width="37.140625" style="203" customWidth="1"/>
    <col min="13796" max="13796" width="10" style="203" customWidth="1"/>
    <col min="13797" max="13799" width="8.7109375" style="203" customWidth="1"/>
    <col min="13800" max="13800" width="28" style="203" customWidth="1"/>
    <col min="13801" max="14038" width="10" style="203"/>
    <col min="14039" max="14039" width="8.140625" style="203" customWidth="1"/>
    <col min="14040" max="14040" width="51.5703125" style="203" customWidth="1"/>
    <col min="14041" max="14043" width="10.5703125" style="203" customWidth="1"/>
    <col min="14044" max="14044" width="9.42578125" style="203" customWidth="1"/>
    <col min="14045" max="14045" width="8.140625" style="203" customWidth="1"/>
    <col min="14046" max="14046" width="51.28515625" style="203" customWidth="1"/>
    <col min="14047" max="14047" width="11.7109375" style="203" customWidth="1"/>
    <col min="14048" max="14048" width="10.42578125" style="203" customWidth="1"/>
    <col min="14049" max="14049" width="10.5703125" style="203" customWidth="1"/>
    <col min="14050" max="14050" width="9.5703125" style="203" customWidth="1"/>
    <col min="14051" max="14051" width="37.140625" style="203" customWidth="1"/>
    <col min="14052" max="14052" width="10" style="203" customWidth="1"/>
    <col min="14053" max="14055" width="8.7109375" style="203" customWidth="1"/>
    <col min="14056" max="14056" width="28" style="203" customWidth="1"/>
    <col min="14057" max="14294" width="10" style="203"/>
    <col min="14295" max="14295" width="8.140625" style="203" customWidth="1"/>
    <col min="14296" max="14296" width="51.5703125" style="203" customWidth="1"/>
    <col min="14297" max="14299" width="10.5703125" style="203" customWidth="1"/>
    <col min="14300" max="14300" width="9.42578125" style="203" customWidth="1"/>
    <col min="14301" max="14301" width="8.140625" style="203" customWidth="1"/>
    <col min="14302" max="14302" width="51.28515625" style="203" customWidth="1"/>
    <col min="14303" max="14303" width="11.7109375" style="203" customWidth="1"/>
    <col min="14304" max="14304" width="10.42578125" style="203" customWidth="1"/>
    <col min="14305" max="14305" width="10.5703125" style="203" customWidth="1"/>
    <col min="14306" max="14306" width="9.5703125" style="203" customWidth="1"/>
    <col min="14307" max="14307" width="37.140625" style="203" customWidth="1"/>
    <col min="14308" max="14308" width="10" style="203" customWidth="1"/>
    <col min="14309" max="14311" width="8.7109375" style="203" customWidth="1"/>
    <col min="14312" max="14312" width="28" style="203" customWidth="1"/>
    <col min="14313" max="14550" width="10" style="203"/>
    <col min="14551" max="14551" width="8.140625" style="203" customWidth="1"/>
    <col min="14552" max="14552" width="51.5703125" style="203" customWidth="1"/>
    <col min="14553" max="14555" width="10.5703125" style="203" customWidth="1"/>
    <col min="14556" max="14556" width="9.42578125" style="203" customWidth="1"/>
    <col min="14557" max="14557" width="8.140625" style="203" customWidth="1"/>
    <col min="14558" max="14558" width="51.28515625" style="203" customWidth="1"/>
    <col min="14559" max="14559" width="11.7109375" style="203" customWidth="1"/>
    <col min="14560" max="14560" width="10.42578125" style="203" customWidth="1"/>
    <col min="14561" max="14561" width="10.5703125" style="203" customWidth="1"/>
    <col min="14562" max="14562" width="9.5703125" style="203" customWidth="1"/>
    <col min="14563" max="14563" width="37.140625" style="203" customWidth="1"/>
    <col min="14564" max="14564" width="10" style="203" customWidth="1"/>
    <col min="14565" max="14567" width="8.7109375" style="203" customWidth="1"/>
    <col min="14568" max="14568" width="28" style="203" customWidth="1"/>
    <col min="14569" max="14806" width="10" style="203"/>
    <col min="14807" max="14807" width="8.140625" style="203" customWidth="1"/>
    <col min="14808" max="14808" width="51.5703125" style="203" customWidth="1"/>
    <col min="14809" max="14811" width="10.5703125" style="203" customWidth="1"/>
    <col min="14812" max="14812" width="9.42578125" style="203" customWidth="1"/>
    <col min="14813" max="14813" width="8.140625" style="203" customWidth="1"/>
    <col min="14814" max="14814" width="51.28515625" style="203" customWidth="1"/>
    <col min="14815" max="14815" width="11.7109375" style="203" customWidth="1"/>
    <col min="14816" max="14816" width="10.42578125" style="203" customWidth="1"/>
    <col min="14817" max="14817" width="10.5703125" style="203" customWidth="1"/>
    <col min="14818" max="14818" width="9.5703125" style="203" customWidth="1"/>
    <col min="14819" max="14819" width="37.140625" style="203" customWidth="1"/>
    <col min="14820" max="14820" width="10" style="203" customWidth="1"/>
    <col min="14821" max="14823" width="8.7109375" style="203" customWidth="1"/>
    <col min="14824" max="14824" width="28" style="203" customWidth="1"/>
    <col min="14825" max="15062" width="10" style="203"/>
    <col min="15063" max="15063" width="8.140625" style="203" customWidth="1"/>
    <col min="15064" max="15064" width="51.5703125" style="203" customWidth="1"/>
    <col min="15065" max="15067" width="10.5703125" style="203" customWidth="1"/>
    <col min="15068" max="15068" width="9.42578125" style="203" customWidth="1"/>
    <col min="15069" max="15069" width="8.140625" style="203" customWidth="1"/>
    <col min="15070" max="15070" width="51.28515625" style="203" customWidth="1"/>
    <col min="15071" max="15071" width="11.7109375" style="203" customWidth="1"/>
    <col min="15072" max="15072" width="10.42578125" style="203" customWidth="1"/>
    <col min="15073" max="15073" width="10.5703125" style="203" customWidth="1"/>
    <col min="15074" max="15074" width="9.5703125" style="203" customWidth="1"/>
    <col min="15075" max="15075" width="37.140625" style="203" customWidth="1"/>
    <col min="15076" max="15076" width="10" style="203" customWidth="1"/>
    <col min="15077" max="15079" width="8.7109375" style="203" customWidth="1"/>
    <col min="15080" max="15080" width="28" style="203" customWidth="1"/>
    <col min="15081" max="15318" width="10" style="203"/>
    <col min="15319" max="15319" width="8.140625" style="203" customWidth="1"/>
    <col min="15320" max="15320" width="51.5703125" style="203" customWidth="1"/>
    <col min="15321" max="15323" width="10.5703125" style="203" customWidth="1"/>
    <col min="15324" max="15324" width="9.42578125" style="203" customWidth="1"/>
    <col min="15325" max="15325" width="8.140625" style="203" customWidth="1"/>
    <col min="15326" max="15326" width="51.28515625" style="203" customWidth="1"/>
    <col min="15327" max="15327" width="11.7109375" style="203" customWidth="1"/>
    <col min="15328" max="15328" width="10.42578125" style="203" customWidth="1"/>
    <col min="15329" max="15329" width="10.5703125" style="203" customWidth="1"/>
    <col min="15330" max="15330" width="9.5703125" style="203" customWidth="1"/>
    <col min="15331" max="15331" width="37.140625" style="203" customWidth="1"/>
    <col min="15332" max="15332" width="10" style="203" customWidth="1"/>
    <col min="15333" max="15335" width="8.7109375" style="203" customWidth="1"/>
    <col min="15336" max="15336" width="28" style="203" customWidth="1"/>
    <col min="15337" max="15574" width="10" style="203"/>
    <col min="15575" max="15575" width="8.140625" style="203" customWidth="1"/>
    <col min="15576" max="15576" width="51.5703125" style="203" customWidth="1"/>
    <col min="15577" max="15579" width="10.5703125" style="203" customWidth="1"/>
    <col min="15580" max="15580" width="9.42578125" style="203" customWidth="1"/>
    <col min="15581" max="15581" width="8.140625" style="203" customWidth="1"/>
    <col min="15582" max="15582" width="51.28515625" style="203" customWidth="1"/>
    <col min="15583" max="15583" width="11.7109375" style="203" customWidth="1"/>
    <col min="15584" max="15584" width="10.42578125" style="203" customWidth="1"/>
    <col min="15585" max="15585" width="10.5703125" style="203" customWidth="1"/>
    <col min="15586" max="15586" width="9.5703125" style="203" customWidth="1"/>
    <col min="15587" max="15587" width="37.140625" style="203" customWidth="1"/>
    <col min="15588" max="15588" width="10" style="203" customWidth="1"/>
    <col min="15589" max="15591" width="8.7109375" style="203" customWidth="1"/>
    <col min="15592" max="15592" width="28" style="203" customWidth="1"/>
    <col min="15593" max="15830" width="10" style="203"/>
    <col min="15831" max="15831" width="8.140625" style="203" customWidth="1"/>
    <col min="15832" max="15832" width="51.5703125" style="203" customWidth="1"/>
    <col min="15833" max="15835" width="10.5703125" style="203" customWidth="1"/>
    <col min="15836" max="15836" width="9.42578125" style="203" customWidth="1"/>
    <col min="15837" max="15837" width="8.140625" style="203" customWidth="1"/>
    <col min="15838" max="15838" width="51.28515625" style="203" customWidth="1"/>
    <col min="15839" max="15839" width="11.7109375" style="203" customWidth="1"/>
    <col min="15840" max="15840" width="10.42578125" style="203" customWidth="1"/>
    <col min="15841" max="15841" width="10.5703125" style="203" customWidth="1"/>
    <col min="15842" max="15842" width="9.5703125" style="203" customWidth="1"/>
    <col min="15843" max="15843" width="37.140625" style="203" customWidth="1"/>
    <col min="15844" max="15844" width="10" style="203" customWidth="1"/>
    <col min="15845" max="15847" width="8.7109375" style="203" customWidth="1"/>
    <col min="15848" max="15848" width="28" style="203" customWidth="1"/>
    <col min="15849" max="16086" width="10" style="203"/>
    <col min="16087" max="16087" width="8.140625" style="203" customWidth="1"/>
    <col min="16088" max="16088" width="51.5703125" style="203" customWidth="1"/>
    <col min="16089" max="16091" width="10.5703125" style="203" customWidth="1"/>
    <col min="16092" max="16092" width="9.42578125" style="203" customWidth="1"/>
    <col min="16093" max="16093" width="8.140625" style="203" customWidth="1"/>
    <col min="16094" max="16094" width="51.28515625" style="203" customWidth="1"/>
    <col min="16095" max="16095" width="11.7109375" style="203" customWidth="1"/>
    <col min="16096" max="16096" width="10.42578125" style="203" customWidth="1"/>
    <col min="16097" max="16097" width="10.5703125" style="203" customWidth="1"/>
    <col min="16098" max="16098" width="9.5703125" style="203" customWidth="1"/>
    <col min="16099" max="16099" width="37.140625" style="203" customWidth="1"/>
    <col min="16100" max="16100" width="10" style="203" customWidth="1"/>
    <col min="16101" max="16103" width="8.7109375" style="203" customWidth="1"/>
    <col min="16104" max="16104" width="28" style="203" customWidth="1"/>
    <col min="16105" max="16384" width="10" style="203"/>
  </cols>
  <sheetData>
    <row r="1" spans="1:9" ht="94.5" customHeight="1" x14ac:dyDescent="0.25">
      <c r="A1" s="227" t="s">
        <v>1096</v>
      </c>
      <c r="B1" s="227"/>
      <c r="C1" s="227"/>
      <c r="D1" s="227"/>
      <c r="E1" s="227"/>
      <c r="F1" s="227"/>
      <c r="G1" s="227"/>
      <c r="H1" s="227"/>
      <c r="I1" s="227"/>
    </row>
    <row r="2" spans="1:9" ht="46.5" customHeight="1" x14ac:dyDescent="0.25">
      <c r="A2" s="234" t="s">
        <v>1057</v>
      </c>
      <c r="B2" s="234"/>
      <c r="C2" s="234"/>
      <c r="D2" s="234"/>
      <c r="E2" s="234"/>
      <c r="F2" s="234"/>
      <c r="G2" s="234"/>
      <c r="H2" s="234"/>
      <c r="I2" s="234"/>
    </row>
    <row r="3" spans="1:9" ht="27" customHeight="1" x14ac:dyDescent="0.25">
      <c r="A3" s="235" t="s">
        <v>1097</v>
      </c>
      <c r="B3" s="235"/>
      <c r="C3" s="235"/>
      <c r="D3" s="235"/>
      <c r="E3" s="235"/>
      <c r="F3" s="235"/>
      <c r="G3" s="235"/>
      <c r="H3" s="235"/>
      <c r="I3" s="235"/>
    </row>
    <row r="4" spans="1:9" ht="27.75" customHeight="1" x14ac:dyDescent="0.25">
      <c r="A4" s="228"/>
      <c r="B4" s="228"/>
      <c r="C4" s="229"/>
      <c r="D4" s="229"/>
      <c r="E4" s="229"/>
      <c r="F4" s="229"/>
      <c r="G4" s="229" t="s">
        <v>655</v>
      </c>
      <c r="H4" s="229"/>
      <c r="I4" s="229"/>
    </row>
    <row r="5" spans="1:9" ht="19.5" customHeight="1" x14ac:dyDescent="0.25">
      <c r="A5" s="230" t="s">
        <v>0</v>
      </c>
      <c r="B5" s="231" t="s">
        <v>1</v>
      </c>
      <c r="C5" s="230" t="s">
        <v>946</v>
      </c>
      <c r="D5" s="230"/>
      <c r="E5" s="230"/>
      <c r="F5" s="233"/>
      <c r="G5" s="230" t="s">
        <v>946</v>
      </c>
      <c r="H5" s="230"/>
      <c r="I5" s="230"/>
    </row>
    <row r="6" spans="1:9" ht="19.5" customHeight="1" x14ac:dyDescent="0.25">
      <c r="A6" s="230"/>
      <c r="B6" s="232"/>
      <c r="C6" s="202" t="s">
        <v>3</v>
      </c>
      <c r="D6" s="202" t="s">
        <v>4</v>
      </c>
      <c r="E6" s="202" t="s">
        <v>5</v>
      </c>
      <c r="F6" s="202" t="s">
        <v>6</v>
      </c>
      <c r="G6" s="202" t="s">
        <v>3</v>
      </c>
      <c r="H6" s="202" t="s">
        <v>4</v>
      </c>
      <c r="I6" s="202" t="s">
        <v>5</v>
      </c>
    </row>
    <row r="7" spans="1:9" ht="27.75" customHeight="1" x14ac:dyDescent="0.25">
      <c r="A7" s="202">
        <v>1</v>
      </c>
      <c r="B7" s="204" t="s">
        <v>385</v>
      </c>
      <c r="C7" s="205"/>
      <c r="D7" s="205"/>
      <c r="E7" s="205"/>
      <c r="F7" s="205"/>
      <c r="G7" s="226">
        <v>0.7</v>
      </c>
      <c r="H7" s="205"/>
      <c r="I7" s="205"/>
    </row>
    <row r="8" spans="1:9" ht="72" customHeight="1" x14ac:dyDescent="0.25">
      <c r="A8" s="206" t="s">
        <v>8</v>
      </c>
      <c r="B8" s="70" t="s">
        <v>767</v>
      </c>
      <c r="C8" s="44">
        <v>35260</v>
      </c>
      <c r="D8" s="44">
        <v>17600</v>
      </c>
      <c r="E8" s="205"/>
      <c r="F8" s="205"/>
      <c r="G8" s="44">
        <f>C8*$G$7</f>
        <v>24682</v>
      </c>
      <c r="H8" s="44">
        <f t="shared" ref="H8:I32" si="0">D8*$G$7</f>
        <v>12320</v>
      </c>
      <c r="I8" s="44"/>
    </row>
    <row r="9" spans="1:9" ht="75" customHeight="1" x14ac:dyDescent="0.25">
      <c r="A9" s="206" t="s">
        <v>9</v>
      </c>
      <c r="B9" s="70" t="s">
        <v>768</v>
      </c>
      <c r="C9" s="44">
        <v>28780</v>
      </c>
      <c r="D9" s="44">
        <v>14430.000000000002</v>
      </c>
      <c r="E9" s="205"/>
      <c r="F9" s="205"/>
      <c r="G9" s="44">
        <f t="shared" ref="G9:I70" si="1">C9*$G$7</f>
        <v>20146</v>
      </c>
      <c r="H9" s="44">
        <f t="shared" si="0"/>
        <v>10101</v>
      </c>
      <c r="I9" s="44"/>
    </row>
    <row r="10" spans="1:9" ht="75" x14ac:dyDescent="0.25">
      <c r="A10" s="206" t="s">
        <v>82</v>
      </c>
      <c r="B10" s="70" t="s">
        <v>769</v>
      </c>
      <c r="C10" s="44">
        <v>23290</v>
      </c>
      <c r="D10" s="44">
        <v>11655.000000000002</v>
      </c>
      <c r="E10" s="205"/>
      <c r="F10" s="205"/>
      <c r="G10" s="44">
        <f t="shared" si="1"/>
        <v>16302.999999999998</v>
      </c>
      <c r="H10" s="44">
        <f t="shared" si="0"/>
        <v>8158.5000000000009</v>
      </c>
      <c r="I10" s="44"/>
    </row>
    <row r="11" spans="1:9" ht="60.75" customHeight="1" x14ac:dyDescent="0.25">
      <c r="A11" s="206" t="s">
        <v>109</v>
      </c>
      <c r="B11" s="70" t="s">
        <v>599</v>
      </c>
      <c r="C11" s="44">
        <v>31660</v>
      </c>
      <c r="D11" s="44">
        <v>15873.000000000004</v>
      </c>
      <c r="E11" s="205"/>
      <c r="F11" s="205"/>
      <c r="G11" s="44">
        <f t="shared" si="1"/>
        <v>22162</v>
      </c>
      <c r="H11" s="44">
        <f t="shared" si="0"/>
        <v>11111.100000000002</v>
      </c>
      <c r="I11" s="44"/>
    </row>
    <row r="12" spans="1:9" ht="61.5" customHeight="1" x14ac:dyDescent="0.25">
      <c r="A12" s="206" t="s">
        <v>111</v>
      </c>
      <c r="B12" s="70" t="s">
        <v>770</v>
      </c>
      <c r="C12" s="44">
        <v>21990</v>
      </c>
      <c r="D12" s="44">
        <v>11020</v>
      </c>
      <c r="E12" s="205"/>
      <c r="F12" s="205"/>
      <c r="G12" s="44">
        <f t="shared" si="1"/>
        <v>15392.999999999998</v>
      </c>
      <c r="H12" s="44">
        <f t="shared" si="0"/>
        <v>7713.9999999999991</v>
      </c>
      <c r="I12" s="44"/>
    </row>
    <row r="13" spans="1:9" ht="49.5" customHeight="1" x14ac:dyDescent="0.25">
      <c r="A13" s="206" t="s">
        <v>113</v>
      </c>
      <c r="B13" s="70" t="s">
        <v>600</v>
      </c>
      <c r="C13" s="44">
        <v>16000</v>
      </c>
      <c r="D13" s="44">
        <v>7979.9999999999991</v>
      </c>
      <c r="E13" s="205"/>
      <c r="F13" s="205"/>
      <c r="G13" s="44">
        <f t="shared" si="1"/>
        <v>11200</v>
      </c>
      <c r="H13" s="44">
        <f t="shared" si="0"/>
        <v>5585.9999999999991</v>
      </c>
      <c r="I13" s="44"/>
    </row>
    <row r="14" spans="1:9" ht="75" x14ac:dyDescent="0.25">
      <c r="A14" s="206" t="s">
        <v>116</v>
      </c>
      <c r="B14" s="70" t="s">
        <v>771</v>
      </c>
      <c r="C14" s="44">
        <v>16000</v>
      </c>
      <c r="D14" s="44">
        <v>7979.9999999999991</v>
      </c>
      <c r="E14" s="205"/>
      <c r="F14" s="205"/>
      <c r="G14" s="44">
        <f t="shared" si="1"/>
        <v>11200</v>
      </c>
      <c r="H14" s="44">
        <f t="shared" si="0"/>
        <v>5585.9999999999991</v>
      </c>
      <c r="I14" s="44"/>
    </row>
    <row r="15" spans="1:9" ht="75" x14ac:dyDescent="0.25">
      <c r="A15" s="206" t="s">
        <v>118</v>
      </c>
      <c r="B15" s="70" t="s">
        <v>772</v>
      </c>
      <c r="C15" s="44">
        <v>11200</v>
      </c>
      <c r="D15" s="44">
        <v>5600.0000000000009</v>
      </c>
      <c r="E15" s="205"/>
      <c r="F15" s="205"/>
      <c r="G15" s="44">
        <f t="shared" si="1"/>
        <v>7839.9999999999991</v>
      </c>
      <c r="H15" s="44">
        <f t="shared" si="0"/>
        <v>3920.0000000000005</v>
      </c>
      <c r="I15" s="44"/>
    </row>
    <row r="16" spans="1:9" ht="75" x14ac:dyDescent="0.25">
      <c r="A16" s="206" t="s">
        <v>601</v>
      </c>
      <c r="B16" s="70" t="s">
        <v>773</v>
      </c>
      <c r="C16" s="44">
        <v>8900</v>
      </c>
      <c r="D16" s="44">
        <v>4440</v>
      </c>
      <c r="E16" s="205"/>
      <c r="F16" s="205"/>
      <c r="G16" s="44">
        <f t="shared" si="1"/>
        <v>6230</v>
      </c>
      <c r="H16" s="44">
        <f t="shared" si="0"/>
        <v>3108</v>
      </c>
      <c r="I16" s="44"/>
    </row>
    <row r="17" spans="1:9" ht="34.5" customHeight="1" x14ac:dyDescent="0.25">
      <c r="A17" s="207">
        <v>2</v>
      </c>
      <c r="B17" s="204" t="s">
        <v>602</v>
      </c>
      <c r="C17" s="44"/>
      <c r="D17" s="44"/>
      <c r="E17" s="205"/>
      <c r="F17" s="205"/>
      <c r="G17" s="44"/>
      <c r="H17" s="44"/>
      <c r="I17" s="44"/>
    </row>
    <row r="18" spans="1:9" ht="39" customHeight="1" x14ac:dyDescent="0.25">
      <c r="A18" s="206" t="s">
        <v>85</v>
      </c>
      <c r="B18" s="70" t="s">
        <v>603</v>
      </c>
      <c r="C18" s="44">
        <v>35270</v>
      </c>
      <c r="D18" s="44">
        <v>17600</v>
      </c>
      <c r="E18" s="205"/>
      <c r="F18" s="205"/>
      <c r="G18" s="44">
        <f t="shared" si="1"/>
        <v>24689</v>
      </c>
      <c r="H18" s="44">
        <f t="shared" si="0"/>
        <v>12320</v>
      </c>
      <c r="I18" s="44"/>
    </row>
    <row r="19" spans="1:9" ht="37.5" x14ac:dyDescent="0.25">
      <c r="A19" s="206" t="s">
        <v>13</v>
      </c>
      <c r="B19" s="70" t="s">
        <v>604</v>
      </c>
      <c r="C19" s="44">
        <v>34500</v>
      </c>
      <c r="D19" s="44">
        <v>17250</v>
      </c>
      <c r="E19" s="205"/>
      <c r="F19" s="205"/>
      <c r="G19" s="44">
        <f t="shared" si="1"/>
        <v>24150</v>
      </c>
      <c r="H19" s="44">
        <f t="shared" si="0"/>
        <v>12075</v>
      </c>
      <c r="I19" s="44"/>
    </row>
    <row r="20" spans="1:9" ht="30" customHeight="1" x14ac:dyDescent="0.25">
      <c r="A20" s="207">
        <v>3</v>
      </c>
      <c r="B20" s="204" t="s">
        <v>605</v>
      </c>
      <c r="C20" s="44"/>
      <c r="D20" s="44"/>
      <c r="E20" s="205"/>
      <c r="F20" s="205"/>
      <c r="G20" s="44"/>
      <c r="H20" s="44"/>
      <c r="I20" s="44"/>
    </row>
    <row r="21" spans="1:9" ht="63" customHeight="1" x14ac:dyDescent="0.25">
      <c r="A21" s="206" t="s">
        <v>15</v>
      </c>
      <c r="B21" s="70" t="s">
        <v>606</v>
      </c>
      <c r="C21" s="44">
        <v>21450</v>
      </c>
      <c r="D21" s="44">
        <v>10710</v>
      </c>
      <c r="E21" s="205"/>
      <c r="F21" s="205"/>
      <c r="G21" s="44">
        <f t="shared" si="1"/>
        <v>15014.999999999998</v>
      </c>
      <c r="H21" s="44">
        <f t="shared" si="0"/>
        <v>7496.9999999999991</v>
      </c>
      <c r="I21" s="44"/>
    </row>
    <row r="22" spans="1:9" ht="80.25" customHeight="1" x14ac:dyDescent="0.25">
      <c r="A22" s="206" t="s">
        <v>16</v>
      </c>
      <c r="B22" s="70" t="s">
        <v>1083</v>
      </c>
      <c r="C22" s="44">
        <v>18180</v>
      </c>
      <c r="D22" s="44">
        <v>9120</v>
      </c>
      <c r="E22" s="205"/>
      <c r="F22" s="205"/>
      <c r="G22" s="44">
        <f t="shared" si="1"/>
        <v>12726</v>
      </c>
      <c r="H22" s="44">
        <f t="shared" si="0"/>
        <v>6384</v>
      </c>
      <c r="I22" s="44"/>
    </row>
    <row r="23" spans="1:9" ht="27" customHeight="1" x14ac:dyDescent="0.25">
      <c r="A23" s="207">
        <v>4</v>
      </c>
      <c r="B23" s="204" t="s">
        <v>607</v>
      </c>
      <c r="C23" s="44"/>
      <c r="D23" s="44"/>
      <c r="E23" s="205"/>
      <c r="F23" s="205"/>
      <c r="G23" s="44"/>
      <c r="H23" s="44"/>
      <c r="I23" s="44"/>
    </row>
    <row r="24" spans="1:9" ht="78.75" customHeight="1" x14ac:dyDescent="0.25">
      <c r="A24" s="206" t="s">
        <v>10</v>
      </c>
      <c r="B24" s="70" t="s">
        <v>870</v>
      </c>
      <c r="C24" s="44">
        <v>17700</v>
      </c>
      <c r="D24" s="44">
        <v>8932</v>
      </c>
      <c r="E24" s="205"/>
      <c r="F24" s="205"/>
      <c r="G24" s="44">
        <f t="shared" si="1"/>
        <v>12390</v>
      </c>
      <c r="H24" s="44">
        <f t="shared" si="0"/>
        <v>6252.4</v>
      </c>
      <c r="I24" s="44"/>
    </row>
    <row r="25" spans="1:9" hidden="1" x14ac:dyDescent="0.25">
      <c r="A25" s="206"/>
      <c r="B25" s="70"/>
      <c r="C25" s="44"/>
      <c r="D25" s="44"/>
      <c r="E25" s="205"/>
      <c r="F25" s="205"/>
      <c r="G25" s="44"/>
      <c r="H25" s="44"/>
      <c r="I25" s="44"/>
    </row>
    <row r="26" spans="1:9" ht="75" x14ac:dyDescent="0.25">
      <c r="A26" s="206" t="s">
        <v>11</v>
      </c>
      <c r="B26" s="70" t="s">
        <v>871</v>
      </c>
      <c r="C26" s="44">
        <v>11000</v>
      </c>
      <c r="D26" s="44">
        <v>5508</v>
      </c>
      <c r="E26" s="205"/>
      <c r="F26" s="205"/>
      <c r="G26" s="44">
        <f t="shared" si="1"/>
        <v>7699.9999999999991</v>
      </c>
      <c r="H26" s="44">
        <f t="shared" si="0"/>
        <v>3855.6</v>
      </c>
      <c r="I26" s="44"/>
    </row>
    <row r="27" spans="1:9" ht="24" customHeight="1" x14ac:dyDescent="0.25">
      <c r="A27" s="207">
        <v>5</v>
      </c>
      <c r="B27" s="204" t="s">
        <v>608</v>
      </c>
      <c r="C27" s="44"/>
      <c r="D27" s="44"/>
      <c r="E27" s="44"/>
      <c r="F27" s="205"/>
      <c r="G27" s="44"/>
      <c r="H27" s="44"/>
      <c r="I27" s="44"/>
    </row>
    <row r="28" spans="1:9" ht="37.5" x14ac:dyDescent="0.25">
      <c r="A28" s="206" t="s">
        <v>19</v>
      </c>
      <c r="B28" s="70" t="s">
        <v>609</v>
      </c>
      <c r="C28" s="44">
        <v>34500</v>
      </c>
      <c r="D28" s="44">
        <v>17250</v>
      </c>
      <c r="E28" s="44"/>
      <c r="F28" s="205"/>
      <c r="G28" s="44">
        <f t="shared" si="1"/>
        <v>24150</v>
      </c>
      <c r="H28" s="44">
        <f t="shared" si="0"/>
        <v>12075</v>
      </c>
      <c r="I28" s="44"/>
    </row>
    <row r="29" spans="1:9" ht="51" customHeight="1" x14ac:dyDescent="0.25">
      <c r="A29" s="206" t="s">
        <v>20</v>
      </c>
      <c r="B29" s="70" t="s">
        <v>774</v>
      </c>
      <c r="C29" s="44">
        <v>27900</v>
      </c>
      <c r="D29" s="44">
        <v>14000</v>
      </c>
      <c r="E29" s="44"/>
      <c r="F29" s="205"/>
      <c r="G29" s="44">
        <f t="shared" si="1"/>
        <v>19530</v>
      </c>
      <c r="H29" s="44">
        <f t="shared" si="0"/>
        <v>9800</v>
      </c>
      <c r="I29" s="44"/>
    </row>
    <row r="30" spans="1:9" ht="27" customHeight="1" x14ac:dyDescent="0.25">
      <c r="A30" s="207">
        <v>6</v>
      </c>
      <c r="B30" s="204" t="s">
        <v>610</v>
      </c>
      <c r="C30" s="44"/>
      <c r="D30" s="44"/>
      <c r="E30" s="44"/>
      <c r="F30" s="205"/>
      <c r="G30" s="44"/>
      <c r="H30" s="44"/>
      <c r="I30" s="44"/>
    </row>
    <row r="31" spans="1:9" ht="37.5" x14ac:dyDescent="0.25">
      <c r="A31" s="206" t="s">
        <v>22</v>
      </c>
      <c r="B31" s="70" t="s">
        <v>775</v>
      </c>
      <c r="C31" s="44">
        <v>25000</v>
      </c>
      <c r="D31" s="44"/>
      <c r="E31" s="44"/>
      <c r="F31" s="205"/>
      <c r="G31" s="44">
        <f t="shared" si="1"/>
        <v>17500</v>
      </c>
      <c r="H31" s="44"/>
      <c r="I31" s="44"/>
    </row>
    <row r="32" spans="1:9" ht="56.25" x14ac:dyDescent="0.25">
      <c r="A32" s="206" t="s">
        <v>23</v>
      </c>
      <c r="B32" s="208" t="s">
        <v>854</v>
      </c>
      <c r="C32" s="44">
        <v>6000</v>
      </c>
      <c r="D32" s="44">
        <v>3000</v>
      </c>
      <c r="E32" s="44">
        <v>1800</v>
      </c>
      <c r="F32" s="44"/>
      <c r="G32" s="44">
        <f t="shared" si="1"/>
        <v>4200</v>
      </c>
      <c r="H32" s="44">
        <f t="shared" si="0"/>
        <v>2100</v>
      </c>
      <c r="I32" s="44">
        <f t="shared" si="0"/>
        <v>1260</v>
      </c>
    </row>
    <row r="33" spans="1:9" hidden="1" x14ac:dyDescent="0.25">
      <c r="A33" s="207"/>
      <c r="B33" s="204"/>
      <c r="C33" s="44"/>
      <c r="D33" s="44"/>
      <c r="E33" s="44"/>
      <c r="F33" s="44"/>
      <c r="G33" s="44"/>
      <c r="H33" s="44"/>
      <c r="I33" s="44"/>
    </row>
    <row r="34" spans="1:9" ht="61.5" customHeight="1" x14ac:dyDescent="0.25">
      <c r="A34" s="207">
        <v>7</v>
      </c>
      <c r="B34" s="70" t="s">
        <v>947</v>
      </c>
      <c r="C34" s="44">
        <v>12000</v>
      </c>
      <c r="D34" s="44">
        <v>5994</v>
      </c>
      <c r="E34" s="44">
        <v>3564.0000000000005</v>
      </c>
      <c r="F34" s="44">
        <v>2430</v>
      </c>
      <c r="G34" s="44">
        <f t="shared" si="1"/>
        <v>8400</v>
      </c>
      <c r="H34" s="44">
        <f t="shared" si="1"/>
        <v>4195.8</v>
      </c>
      <c r="I34" s="44">
        <f t="shared" si="1"/>
        <v>2494.8000000000002</v>
      </c>
    </row>
    <row r="35" spans="1:9" ht="75" x14ac:dyDescent="0.25">
      <c r="A35" s="209">
        <v>8</v>
      </c>
      <c r="B35" s="70" t="s">
        <v>1084</v>
      </c>
      <c r="C35" s="44">
        <v>17250</v>
      </c>
      <c r="D35" s="44">
        <v>8624</v>
      </c>
      <c r="E35" s="44"/>
      <c r="F35" s="44"/>
      <c r="G35" s="44">
        <f t="shared" si="1"/>
        <v>12075</v>
      </c>
      <c r="H35" s="44">
        <f t="shared" si="1"/>
        <v>6036.7999999999993</v>
      </c>
      <c r="I35" s="44"/>
    </row>
    <row r="36" spans="1:9" ht="78.95" customHeight="1" x14ac:dyDescent="0.25">
      <c r="A36" s="207">
        <v>9</v>
      </c>
      <c r="B36" s="204" t="s">
        <v>776</v>
      </c>
      <c r="C36" s="44">
        <v>14150</v>
      </c>
      <c r="D36" s="44">
        <v>7097</v>
      </c>
      <c r="E36" s="44"/>
      <c r="F36" s="44"/>
      <c r="G36" s="44">
        <f t="shared" si="1"/>
        <v>9905</v>
      </c>
      <c r="H36" s="44">
        <f t="shared" si="1"/>
        <v>4967.8999999999996</v>
      </c>
      <c r="I36" s="44"/>
    </row>
    <row r="37" spans="1:9" ht="24" customHeight="1" x14ac:dyDescent="0.25">
      <c r="A37" s="207">
        <v>10</v>
      </c>
      <c r="B37" s="204" t="s">
        <v>612</v>
      </c>
      <c r="C37" s="44"/>
      <c r="D37" s="44"/>
      <c r="E37" s="44"/>
      <c r="F37" s="44"/>
      <c r="G37" s="44"/>
      <c r="H37" s="44"/>
      <c r="I37" s="44"/>
    </row>
    <row r="38" spans="1:9" ht="63" customHeight="1" x14ac:dyDescent="0.25">
      <c r="A38" s="206" t="s">
        <v>143</v>
      </c>
      <c r="B38" s="70" t="s">
        <v>1085</v>
      </c>
      <c r="C38" s="44">
        <v>16800</v>
      </c>
      <c r="D38" s="44">
        <v>8400</v>
      </c>
      <c r="E38" s="44"/>
      <c r="F38" s="44"/>
      <c r="G38" s="44">
        <f t="shared" si="1"/>
        <v>11760</v>
      </c>
      <c r="H38" s="44">
        <f t="shared" si="1"/>
        <v>5880</v>
      </c>
      <c r="I38" s="44"/>
    </row>
    <row r="39" spans="1:9" ht="62.25" customHeight="1" x14ac:dyDescent="0.25">
      <c r="A39" s="206" t="s">
        <v>147</v>
      </c>
      <c r="B39" s="70" t="s">
        <v>1086</v>
      </c>
      <c r="C39" s="44">
        <v>12600</v>
      </c>
      <c r="D39" s="44">
        <v>6300</v>
      </c>
      <c r="E39" s="44"/>
      <c r="F39" s="44"/>
      <c r="G39" s="44">
        <f t="shared" si="1"/>
        <v>8820</v>
      </c>
      <c r="H39" s="44">
        <f t="shared" si="1"/>
        <v>4410</v>
      </c>
      <c r="I39" s="44"/>
    </row>
    <row r="40" spans="1:9" ht="59.25" customHeight="1" x14ac:dyDescent="0.25">
      <c r="A40" s="206" t="s">
        <v>149</v>
      </c>
      <c r="B40" s="70" t="s">
        <v>777</v>
      </c>
      <c r="C40" s="44">
        <v>14600</v>
      </c>
      <c r="D40" s="44">
        <v>7399</v>
      </c>
      <c r="E40" s="44">
        <v>4379</v>
      </c>
      <c r="F40" s="44">
        <v>2869</v>
      </c>
      <c r="G40" s="44">
        <f t="shared" si="1"/>
        <v>10220</v>
      </c>
      <c r="H40" s="44">
        <f t="shared" si="1"/>
        <v>5179.2999999999993</v>
      </c>
      <c r="I40" s="44">
        <f t="shared" si="1"/>
        <v>3065.2999999999997</v>
      </c>
    </row>
    <row r="41" spans="1:9" ht="68.25" customHeight="1" x14ac:dyDescent="0.25">
      <c r="A41" s="206" t="s">
        <v>151</v>
      </c>
      <c r="B41" s="70" t="s">
        <v>778</v>
      </c>
      <c r="C41" s="44">
        <v>12600</v>
      </c>
      <c r="D41" s="44">
        <v>6300</v>
      </c>
      <c r="E41" s="44">
        <v>3750</v>
      </c>
      <c r="F41" s="44">
        <v>2550</v>
      </c>
      <c r="G41" s="44">
        <f t="shared" si="1"/>
        <v>8820</v>
      </c>
      <c r="H41" s="44">
        <f t="shared" si="1"/>
        <v>4410</v>
      </c>
      <c r="I41" s="44">
        <f t="shared" si="1"/>
        <v>2625</v>
      </c>
    </row>
    <row r="42" spans="1:9" ht="78" customHeight="1" x14ac:dyDescent="0.25">
      <c r="A42" s="206" t="s">
        <v>154</v>
      </c>
      <c r="B42" s="70" t="s">
        <v>779</v>
      </c>
      <c r="C42" s="44">
        <v>9770</v>
      </c>
      <c r="D42" s="44">
        <v>4950</v>
      </c>
      <c r="E42" s="44">
        <v>3000</v>
      </c>
      <c r="F42" s="44">
        <v>1950</v>
      </c>
      <c r="G42" s="44">
        <f t="shared" si="1"/>
        <v>6839</v>
      </c>
      <c r="H42" s="44">
        <f t="shared" si="1"/>
        <v>3465</v>
      </c>
      <c r="I42" s="44">
        <f t="shared" si="1"/>
        <v>2100</v>
      </c>
    </row>
    <row r="43" spans="1:9" ht="54.75" customHeight="1" x14ac:dyDescent="0.25">
      <c r="A43" s="206" t="s">
        <v>156</v>
      </c>
      <c r="B43" s="70" t="s">
        <v>780</v>
      </c>
      <c r="C43" s="44">
        <v>7550</v>
      </c>
      <c r="D43" s="44">
        <v>3775</v>
      </c>
      <c r="E43" s="44"/>
      <c r="F43" s="44"/>
      <c r="G43" s="44">
        <f t="shared" si="1"/>
        <v>5285</v>
      </c>
      <c r="H43" s="44">
        <f t="shared" si="1"/>
        <v>2642.5</v>
      </c>
      <c r="I43" s="44"/>
    </row>
    <row r="44" spans="1:9" ht="45.75" customHeight="1" x14ac:dyDescent="0.25">
      <c r="A44" s="207">
        <v>11</v>
      </c>
      <c r="B44" s="208" t="s">
        <v>757</v>
      </c>
      <c r="C44" s="44">
        <v>12600</v>
      </c>
      <c r="D44" s="44">
        <v>6300</v>
      </c>
      <c r="E44" s="44"/>
      <c r="F44" s="44"/>
      <c r="G44" s="44">
        <f t="shared" si="1"/>
        <v>8820</v>
      </c>
      <c r="H44" s="44">
        <f t="shared" si="1"/>
        <v>4410</v>
      </c>
      <c r="I44" s="44"/>
    </row>
    <row r="45" spans="1:9" ht="23.25" customHeight="1" x14ac:dyDescent="0.25">
      <c r="A45" s="207">
        <v>12</v>
      </c>
      <c r="B45" s="204" t="s">
        <v>613</v>
      </c>
      <c r="C45" s="44"/>
      <c r="D45" s="44"/>
      <c r="E45" s="44"/>
      <c r="F45" s="44"/>
      <c r="G45" s="44"/>
      <c r="H45" s="44"/>
      <c r="I45" s="44"/>
    </row>
    <row r="46" spans="1:9" ht="65.099999999999994" customHeight="1" x14ac:dyDescent="0.25">
      <c r="A46" s="206" t="s">
        <v>948</v>
      </c>
      <c r="B46" s="70" t="s">
        <v>781</v>
      </c>
      <c r="C46" s="44">
        <v>26700</v>
      </c>
      <c r="D46" s="44">
        <v>13440</v>
      </c>
      <c r="E46" s="44"/>
      <c r="F46" s="44"/>
      <c r="G46" s="44">
        <f t="shared" si="1"/>
        <v>18690</v>
      </c>
      <c r="H46" s="44">
        <f t="shared" si="1"/>
        <v>9408</v>
      </c>
      <c r="I46" s="44"/>
    </row>
    <row r="47" spans="1:9" ht="46.5" customHeight="1" x14ac:dyDescent="0.25">
      <c r="A47" s="206" t="s">
        <v>949</v>
      </c>
      <c r="B47" s="70" t="s">
        <v>782</v>
      </c>
      <c r="C47" s="44">
        <v>6570</v>
      </c>
      <c r="D47" s="44">
        <v>3276</v>
      </c>
      <c r="E47" s="44"/>
      <c r="F47" s="44"/>
      <c r="G47" s="44">
        <f t="shared" si="1"/>
        <v>4599</v>
      </c>
      <c r="H47" s="44">
        <f t="shared" si="1"/>
        <v>2293.1999999999998</v>
      </c>
      <c r="I47" s="44"/>
    </row>
    <row r="48" spans="1:9" ht="37.5" x14ac:dyDescent="0.25">
      <c r="A48" s="207">
        <v>13</v>
      </c>
      <c r="B48" s="204" t="s">
        <v>855</v>
      </c>
      <c r="C48" s="44">
        <v>7500</v>
      </c>
      <c r="D48" s="44">
        <v>3794.9999999999995</v>
      </c>
      <c r="E48" s="44"/>
      <c r="F48" s="44"/>
      <c r="G48" s="44">
        <f t="shared" si="1"/>
        <v>5250</v>
      </c>
      <c r="H48" s="44">
        <f t="shared" si="1"/>
        <v>2656.4999999999995</v>
      </c>
      <c r="I48" s="44"/>
    </row>
    <row r="49" spans="1:9" ht="37.5" x14ac:dyDescent="0.25">
      <c r="A49" s="210">
        <v>14</v>
      </c>
      <c r="B49" s="211" t="s">
        <v>950</v>
      </c>
      <c r="C49" s="212">
        <v>3800</v>
      </c>
      <c r="D49" s="213">
        <v>2264.4</v>
      </c>
      <c r="E49" s="213">
        <v>1276.5</v>
      </c>
      <c r="F49" s="213">
        <v>754.80000000000007</v>
      </c>
      <c r="G49" s="44">
        <f t="shared" si="1"/>
        <v>2660</v>
      </c>
      <c r="H49" s="44">
        <f t="shared" si="1"/>
        <v>1585.08</v>
      </c>
      <c r="I49" s="44">
        <f t="shared" si="1"/>
        <v>893.55</v>
      </c>
    </row>
    <row r="50" spans="1:9" ht="66.75" customHeight="1" x14ac:dyDescent="0.25">
      <c r="A50" s="210">
        <v>15</v>
      </c>
      <c r="B50" s="211" t="s">
        <v>856</v>
      </c>
      <c r="C50" s="213">
        <v>12700</v>
      </c>
      <c r="D50" s="213">
        <v>4681</v>
      </c>
      <c r="E50" s="214"/>
      <c r="F50" s="214"/>
      <c r="G50" s="44">
        <f t="shared" si="1"/>
        <v>8890</v>
      </c>
      <c r="H50" s="44">
        <f t="shared" si="1"/>
        <v>3276.7</v>
      </c>
      <c r="I50" s="44"/>
    </row>
    <row r="51" spans="1:9" ht="56.25" x14ac:dyDescent="0.25">
      <c r="A51" s="210">
        <v>16</v>
      </c>
      <c r="B51" s="215" t="s">
        <v>872</v>
      </c>
      <c r="C51" s="213">
        <v>12700</v>
      </c>
      <c r="D51" s="213">
        <v>6438</v>
      </c>
      <c r="E51" s="214"/>
      <c r="F51" s="214"/>
      <c r="G51" s="44">
        <f t="shared" si="1"/>
        <v>8890</v>
      </c>
      <c r="H51" s="44">
        <f t="shared" si="1"/>
        <v>4506.5999999999995</v>
      </c>
      <c r="I51" s="44"/>
    </row>
    <row r="52" spans="1:9" ht="80.25" customHeight="1" x14ac:dyDescent="0.25">
      <c r="A52" s="210">
        <v>17</v>
      </c>
      <c r="B52" s="211" t="s">
        <v>873</v>
      </c>
      <c r="C52" s="213">
        <v>7500</v>
      </c>
      <c r="D52" s="213">
        <v>3810</v>
      </c>
      <c r="E52" s="214"/>
      <c r="F52" s="214"/>
      <c r="G52" s="44">
        <f t="shared" si="1"/>
        <v>5250</v>
      </c>
      <c r="H52" s="44">
        <f t="shared" si="1"/>
        <v>2667</v>
      </c>
      <c r="I52" s="44"/>
    </row>
    <row r="53" spans="1:9" ht="90.75" customHeight="1" x14ac:dyDescent="0.25">
      <c r="A53" s="207">
        <v>18</v>
      </c>
      <c r="B53" s="204" t="s">
        <v>857</v>
      </c>
      <c r="C53" s="1">
        <v>12700</v>
      </c>
      <c r="D53" s="1">
        <v>6421.7999999999993</v>
      </c>
      <c r="E53" s="205"/>
      <c r="F53" s="205"/>
      <c r="G53" s="44">
        <f t="shared" si="1"/>
        <v>8890</v>
      </c>
      <c r="H53" s="44">
        <f t="shared" si="1"/>
        <v>4495.2599999999993</v>
      </c>
      <c r="I53" s="44"/>
    </row>
    <row r="54" spans="1:9" ht="79.5" customHeight="1" x14ac:dyDescent="0.25">
      <c r="A54" s="207">
        <v>19</v>
      </c>
      <c r="B54" s="204" t="s">
        <v>783</v>
      </c>
      <c r="C54" s="44">
        <v>12700</v>
      </c>
      <c r="D54" s="44">
        <v>6467</v>
      </c>
      <c r="E54" s="205"/>
      <c r="F54" s="205"/>
      <c r="G54" s="44">
        <f t="shared" si="1"/>
        <v>8890</v>
      </c>
      <c r="H54" s="44">
        <f t="shared" si="1"/>
        <v>4526.8999999999996</v>
      </c>
      <c r="I54" s="44"/>
    </row>
    <row r="55" spans="1:9" ht="85.5" customHeight="1" x14ac:dyDescent="0.25">
      <c r="A55" s="210">
        <v>20</v>
      </c>
      <c r="B55" s="211" t="s">
        <v>858</v>
      </c>
      <c r="C55" s="213">
        <v>12700</v>
      </c>
      <c r="D55" s="213">
        <v>6336</v>
      </c>
      <c r="E55" s="214"/>
      <c r="F55" s="214"/>
      <c r="G55" s="44">
        <f t="shared" si="1"/>
        <v>8890</v>
      </c>
      <c r="H55" s="44">
        <f t="shared" si="1"/>
        <v>4435.2</v>
      </c>
      <c r="I55" s="44"/>
    </row>
    <row r="56" spans="1:9" ht="37.5" x14ac:dyDescent="0.25">
      <c r="A56" s="207">
        <v>21</v>
      </c>
      <c r="B56" s="204" t="s">
        <v>620</v>
      </c>
      <c r="C56" s="44">
        <v>12700</v>
      </c>
      <c r="D56" s="44">
        <v>6356</v>
      </c>
      <c r="E56" s="205"/>
      <c r="F56" s="205"/>
      <c r="G56" s="44">
        <f t="shared" si="1"/>
        <v>8890</v>
      </c>
      <c r="H56" s="44">
        <f t="shared" si="1"/>
        <v>4449.2</v>
      </c>
      <c r="I56" s="44"/>
    </row>
    <row r="57" spans="1:9" ht="25.5" customHeight="1" x14ac:dyDescent="0.25">
      <c r="A57" s="207">
        <v>22</v>
      </c>
      <c r="B57" s="204" t="s">
        <v>621</v>
      </c>
      <c r="C57" s="44"/>
      <c r="D57" s="44"/>
      <c r="E57" s="205"/>
      <c r="F57" s="205"/>
      <c r="G57" s="44"/>
      <c r="H57" s="44"/>
      <c r="I57" s="44"/>
    </row>
    <row r="58" spans="1:9" ht="56.25" x14ac:dyDescent="0.25">
      <c r="A58" s="206" t="s">
        <v>785</v>
      </c>
      <c r="B58" s="70" t="s">
        <v>784</v>
      </c>
      <c r="C58" s="44">
        <v>8490</v>
      </c>
      <c r="D58" s="44">
        <v>4256</v>
      </c>
      <c r="E58" s="44">
        <v>2584</v>
      </c>
      <c r="F58" s="44">
        <v>1672</v>
      </c>
      <c r="G58" s="44">
        <f t="shared" si="1"/>
        <v>5943</v>
      </c>
      <c r="H58" s="44">
        <f t="shared" si="1"/>
        <v>2979.2</v>
      </c>
      <c r="I58" s="44">
        <f t="shared" si="1"/>
        <v>1808.8</v>
      </c>
    </row>
    <row r="59" spans="1:9" ht="51" customHeight="1" x14ac:dyDescent="0.25">
      <c r="A59" s="206" t="s">
        <v>787</v>
      </c>
      <c r="B59" s="70" t="s">
        <v>624</v>
      </c>
      <c r="C59" s="44">
        <v>8000</v>
      </c>
      <c r="D59" s="44">
        <v>3996</v>
      </c>
      <c r="E59" s="44">
        <v>2368</v>
      </c>
      <c r="F59" s="44">
        <v>1628</v>
      </c>
      <c r="G59" s="44">
        <f t="shared" si="1"/>
        <v>5600</v>
      </c>
      <c r="H59" s="44">
        <f t="shared" si="1"/>
        <v>2797.2</v>
      </c>
      <c r="I59" s="44">
        <f t="shared" si="1"/>
        <v>1657.6</v>
      </c>
    </row>
    <row r="60" spans="1:9" ht="28.5" customHeight="1" x14ac:dyDescent="0.25">
      <c r="A60" s="207">
        <v>23</v>
      </c>
      <c r="B60" s="204" t="s">
        <v>625</v>
      </c>
      <c r="C60" s="44"/>
      <c r="D60" s="44"/>
      <c r="E60" s="44"/>
      <c r="F60" s="44"/>
      <c r="G60" s="44"/>
      <c r="H60" s="44"/>
      <c r="I60" s="44"/>
    </row>
    <row r="61" spans="1:9" ht="79.5" customHeight="1" x14ac:dyDescent="0.25">
      <c r="A61" s="206" t="s">
        <v>951</v>
      </c>
      <c r="B61" s="70" t="s">
        <v>786</v>
      </c>
      <c r="C61" s="44">
        <v>12700</v>
      </c>
      <c r="D61" s="44">
        <v>6360</v>
      </c>
      <c r="E61" s="44">
        <v>3816</v>
      </c>
      <c r="F61" s="44">
        <v>2544</v>
      </c>
      <c r="G61" s="44">
        <f t="shared" si="1"/>
        <v>8890</v>
      </c>
      <c r="H61" s="44">
        <f t="shared" si="1"/>
        <v>4452</v>
      </c>
      <c r="I61" s="44">
        <f t="shared" si="1"/>
        <v>2671.2</v>
      </c>
    </row>
    <row r="62" spans="1:9" ht="58.5" customHeight="1" x14ac:dyDescent="0.25">
      <c r="A62" s="206" t="s">
        <v>952</v>
      </c>
      <c r="B62" s="70" t="s">
        <v>1087</v>
      </c>
      <c r="C62" s="44">
        <v>10240</v>
      </c>
      <c r="D62" s="44">
        <v>5120</v>
      </c>
      <c r="E62" s="44">
        <v>3040</v>
      </c>
      <c r="F62" s="44">
        <v>2080</v>
      </c>
      <c r="G62" s="44">
        <f t="shared" si="1"/>
        <v>7168</v>
      </c>
      <c r="H62" s="44">
        <f t="shared" si="1"/>
        <v>3584</v>
      </c>
      <c r="I62" s="44">
        <f t="shared" si="1"/>
        <v>2128</v>
      </c>
    </row>
    <row r="63" spans="1:9" ht="43.5" customHeight="1" x14ac:dyDescent="0.25">
      <c r="A63" s="206" t="s">
        <v>953</v>
      </c>
      <c r="B63" s="70" t="s">
        <v>788</v>
      </c>
      <c r="C63" s="44">
        <v>4000</v>
      </c>
      <c r="D63" s="44">
        <v>2080</v>
      </c>
      <c r="E63" s="44">
        <v>1280</v>
      </c>
      <c r="F63" s="44">
        <v>800</v>
      </c>
      <c r="G63" s="44">
        <f t="shared" si="1"/>
        <v>2800</v>
      </c>
      <c r="H63" s="44">
        <f t="shared" si="1"/>
        <v>1456</v>
      </c>
      <c r="I63" s="44">
        <f t="shared" si="1"/>
        <v>896</v>
      </c>
    </row>
    <row r="64" spans="1:9" ht="56.25" customHeight="1" x14ac:dyDescent="0.25">
      <c r="A64" s="207">
        <v>24</v>
      </c>
      <c r="B64" s="204" t="s">
        <v>754</v>
      </c>
      <c r="C64" s="44">
        <v>12700</v>
      </c>
      <c r="D64" s="44">
        <v>6360</v>
      </c>
      <c r="E64" s="44">
        <v>3816</v>
      </c>
      <c r="F64" s="44">
        <v>2544</v>
      </c>
      <c r="G64" s="44">
        <f t="shared" si="1"/>
        <v>8890</v>
      </c>
      <c r="H64" s="44">
        <f t="shared" si="1"/>
        <v>4452</v>
      </c>
      <c r="I64" s="44">
        <f t="shared" si="1"/>
        <v>2671.2</v>
      </c>
    </row>
    <row r="65" spans="1:9" ht="78.75" customHeight="1" x14ac:dyDescent="0.25">
      <c r="A65" s="210">
        <v>25</v>
      </c>
      <c r="B65" s="211" t="s">
        <v>859</v>
      </c>
      <c r="C65" s="213">
        <v>12800</v>
      </c>
      <c r="D65" s="213">
        <v>6394</v>
      </c>
      <c r="E65" s="213">
        <v>3891.9999999999995</v>
      </c>
      <c r="F65" s="213">
        <v>2502</v>
      </c>
      <c r="G65" s="44">
        <f t="shared" si="1"/>
        <v>8960</v>
      </c>
      <c r="H65" s="44">
        <f t="shared" si="1"/>
        <v>4475.7999999999993</v>
      </c>
      <c r="I65" s="44">
        <f t="shared" si="1"/>
        <v>2724.3999999999996</v>
      </c>
    </row>
    <row r="66" spans="1:9" s="79" customFormat="1" ht="25.5" customHeight="1" x14ac:dyDescent="0.25">
      <c r="A66" s="207">
        <v>26</v>
      </c>
      <c r="B66" s="204" t="s">
        <v>800</v>
      </c>
      <c r="C66" s="207"/>
      <c r="D66" s="207"/>
      <c r="E66" s="207"/>
      <c r="F66" s="207"/>
      <c r="G66" s="44"/>
      <c r="H66" s="44"/>
      <c r="I66" s="44"/>
    </row>
    <row r="67" spans="1:9" ht="47.25" customHeight="1" x14ac:dyDescent="0.25">
      <c r="A67" s="206" t="s">
        <v>789</v>
      </c>
      <c r="B67" s="204" t="s">
        <v>1049</v>
      </c>
      <c r="C67" s="44">
        <v>8560</v>
      </c>
      <c r="D67" s="44"/>
      <c r="E67" s="44"/>
      <c r="F67" s="44"/>
      <c r="G67" s="44">
        <f t="shared" si="1"/>
        <v>5992</v>
      </c>
      <c r="H67" s="44"/>
      <c r="I67" s="44"/>
    </row>
    <row r="68" spans="1:9" ht="37.5" x14ac:dyDescent="0.25">
      <c r="A68" s="206" t="s">
        <v>790</v>
      </c>
      <c r="B68" s="70" t="s">
        <v>801</v>
      </c>
      <c r="C68" s="44">
        <v>8630</v>
      </c>
      <c r="D68" s="44"/>
      <c r="E68" s="44"/>
      <c r="F68" s="44"/>
      <c r="G68" s="44">
        <f t="shared" si="1"/>
        <v>6041</v>
      </c>
      <c r="H68" s="44"/>
      <c r="I68" s="44"/>
    </row>
    <row r="69" spans="1:9" ht="55.5" customHeight="1" x14ac:dyDescent="0.25">
      <c r="A69" s="206" t="s">
        <v>954</v>
      </c>
      <c r="B69" s="70" t="s">
        <v>802</v>
      </c>
      <c r="C69" s="44">
        <v>8610</v>
      </c>
      <c r="D69" s="44">
        <v>4316</v>
      </c>
      <c r="E69" s="44">
        <v>2656</v>
      </c>
      <c r="F69" s="44">
        <v>1660</v>
      </c>
      <c r="G69" s="44">
        <f t="shared" si="1"/>
        <v>6027</v>
      </c>
      <c r="H69" s="44">
        <f t="shared" si="1"/>
        <v>3021.2</v>
      </c>
      <c r="I69" s="44">
        <f t="shared" si="1"/>
        <v>1859.1999999999998</v>
      </c>
    </row>
    <row r="70" spans="1:9" ht="51" customHeight="1" x14ac:dyDescent="0.25">
      <c r="A70" s="206" t="s">
        <v>955</v>
      </c>
      <c r="B70" s="216" t="s">
        <v>803</v>
      </c>
      <c r="C70" s="44">
        <v>6720</v>
      </c>
      <c r="D70" s="44">
        <v>3360</v>
      </c>
      <c r="E70" s="44">
        <v>2016</v>
      </c>
      <c r="F70" s="44">
        <v>1344</v>
      </c>
      <c r="G70" s="44">
        <f t="shared" si="1"/>
        <v>4704</v>
      </c>
      <c r="H70" s="44">
        <f t="shared" si="1"/>
        <v>2352</v>
      </c>
      <c r="I70" s="44">
        <f t="shared" si="1"/>
        <v>1411.1999999999998</v>
      </c>
    </row>
    <row r="71" spans="1:9" s="79" customFormat="1" ht="29.25" customHeight="1" x14ac:dyDescent="0.25">
      <c r="A71" s="207">
        <v>27</v>
      </c>
      <c r="B71" s="204" t="s">
        <v>804</v>
      </c>
      <c r="C71" s="217"/>
      <c r="D71" s="217"/>
      <c r="E71" s="217"/>
      <c r="F71" s="217"/>
      <c r="G71" s="44"/>
      <c r="H71" s="44"/>
      <c r="I71" s="44"/>
    </row>
    <row r="72" spans="1:9" ht="40.5" customHeight="1" x14ac:dyDescent="0.25">
      <c r="A72" s="206" t="s">
        <v>791</v>
      </c>
      <c r="B72" s="70" t="s">
        <v>649</v>
      </c>
      <c r="C72" s="44">
        <v>8630</v>
      </c>
      <c r="D72" s="44">
        <v>4396</v>
      </c>
      <c r="E72" s="44">
        <v>2669</v>
      </c>
      <c r="F72" s="44">
        <v>1727</v>
      </c>
      <c r="G72" s="44">
        <f t="shared" ref="G72:I135" si="2">C72*$G$7</f>
        <v>6041</v>
      </c>
      <c r="H72" s="44">
        <f t="shared" si="2"/>
        <v>3077.2</v>
      </c>
      <c r="I72" s="44">
        <f t="shared" si="2"/>
        <v>1868.3</v>
      </c>
    </row>
    <row r="73" spans="1:9" ht="40.5" customHeight="1" x14ac:dyDescent="0.25">
      <c r="A73" s="206" t="s">
        <v>793</v>
      </c>
      <c r="B73" s="70" t="s">
        <v>805</v>
      </c>
      <c r="C73" s="44">
        <v>8130</v>
      </c>
      <c r="D73" s="44">
        <v>4056</v>
      </c>
      <c r="E73" s="44">
        <v>2496</v>
      </c>
      <c r="F73" s="44">
        <v>1560</v>
      </c>
      <c r="G73" s="44">
        <f t="shared" si="2"/>
        <v>5691</v>
      </c>
      <c r="H73" s="44">
        <f t="shared" si="2"/>
        <v>2839.2</v>
      </c>
      <c r="I73" s="44">
        <f t="shared" si="2"/>
        <v>1747.1999999999998</v>
      </c>
    </row>
    <row r="74" spans="1:9" ht="40.5" customHeight="1" x14ac:dyDescent="0.25">
      <c r="A74" s="206" t="s">
        <v>794</v>
      </c>
      <c r="B74" s="70" t="s">
        <v>806</v>
      </c>
      <c r="C74" s="44">
        <v>8130</v>
      </c>
      <c r="D74" s="44">
        <v>4056</v>
      </c>
      <c r="E74" s="44">
        <v>2496</v>
      </c>
      <c r="F74" s="44">
        <v>1560</v>
      </c>
      <c r="G74" s="44">
        <f t="shared" si="2"/>
        <v>5691</v>
      </c>
      <c r="H74" s="44">
        <f t="shared" si="2"/>
        <v>2839.2</v>
      </c>
      <c r="I74" s="44">
        <f t="shared" si="2"/>
        <v>1747.1999999999998</v>
      </c>
    </row>
    <row r="75" spans="1:9" s="79" customFormat="1" ht="27.75" customHeight="1" x14ac:dyDescent="0.25">
      <c r="A75" s="207">
        <v>28</v>
      </c>
      <c r="B75" s="204" t="s">
        <v>807</v>
      </c>
      <c r="C75" s="207"/>
      <c r="D75" s="207"/>
      <c r="E75" s="207"/>
      <c r="F75" s="207"/>
      <c r="G75" s="44"/>
      <c r="H75" s="44"/>
      <c r="I75" s="44"/>
    </row>
    <row r="76" spans="1:9" ht="37.5" x14ac:dyDescent="0.25">
      <c r="A76" s="206" t="s">
        <v>622</v>
      </c>
      <c r="B76" s="70" t="s">
        <v>611</v>
      </c>
      <c r="C76" s="44">
        <v>23600</v>
      </c>
      <c r="D76" s="44">
        <v>11867.999999999998</v>
      </c>
      <c r="E76" s="44"/>
      <c r="F76" s="205"/>
      <c r="G76" s="44">
        <f t="shared" si="2"/>
        <v>16520</v>
      </c>
      <c r="H76" s="44">
        <f t="shared" si="2"/>
        <v>8307.5999999999985</v>
      </c>
      <c r="I76" s="44"/>
    </row>
    <row r="77" spans="1:9" ht="37.5" x14ac:dyDescent="0.25">
      <c r="A77" s="206" t="s">
        <v>623</v>
      </c>
      <c r="B77" s="70" t="s">
        <v>808</v>
      </c>
      <c r="C77" s="44">
        <v>15150</v>
      </c>
      <c r="D77" s="44">
        <v>7650</v>
      </c>
      <c r="E77" s="205"/>
      <c r="F77" s="205"/>
      <c r="G77" s="44">
        <f t="shared" si="2"/>
        <v>10605</v>
      </c>
      <c r="H77" s="44">
        <f t="shared" si="2"/>
        <v>5355</v>
      </c>
      <c r="I77" s="44"/>
    </row>
    <row r="78" spans="1:9" s="79" customFormat="1" ht="52.5" customHeight="1" x14ac:dyDescent="0.25">
      <c r="A78" s="207">
        <v>29</v>
      </c>
      <c r="B78" s="204" t="s">
        <v>809</v>
      </c>
      <c r="C78" s="44">
        <v>6900</v>
      </c>
      <c r="D78" s="44">
        <v>3450</v>
      </c>
      <c r="E78" s="44">
        <v>2100</v>
      </c>
      <c r="F78" s="205"/>
      <c r="G78" s="44">
        <f t="shared" si="2"/>
        <v>4830</v>
      </c>
      <c r="H78" s="44">
        <f t="shared" si="2"/>
        <v>2415</v>
      </c>
      <c r="I78" s="44">
        <f t="shared" si="2"/>
        <v>1470</v>
      </c>
    </row>
    <row r="79" spans="1:9" s="79" customFormat="1" ht="66.75" customHeight="1" x14ac:dyDescent="0.25">
      <c r="A79" s="207">
        <v>30</v>
      </c>
      <c r="B79" s="204" t="s">
        <v>912</v>
      </c>
      <c r="C79" s="44">
        <v>8620</v>
      </c>
      <c r="D79" s="44"/>
      <c r="E79" s="44"/>
      <c r="F79" s="207"/>
      <c r="G79" s="44">
        <f t="shared" si="2"/>
        <v>6034</v>
      </c>
      <c r="H79" s="44"/>
      <c r="I79" s="44"/>
    </row>
    <row r="80" spans="1:9" s="79" customFormat="1" ht="27" customHeight="1" x14ac:dyDescent="0.25">
      <c r="A80" s="207">
        <v>31</v>
      </c>
      <c r="B80" s="204" t="s">
        <v>810</v>
      </c>
      <c r="C80" s="207"/>
      <c r="D80" s="207"/>
      <c r="E80" s="207"/>
      <c r="F80" s="207"/>
      <c r="G80" s="44"/>
      <c r="H80" s="44"/>
      <c r="I80" s="44"/>
    </row>
    <row r="81" spans="1:9" ht="38.25" customHeight="1" x14ac:dyDescent="0.25">
      <c r="A81" s="206" t="s">
        <v>626</v>
      </c>
      <c r="B81" s="70" t="s">
        <v>628</v>
      </c>
      <c r="C81" s="44">
        <v>8650</v>
      </c>
      <c r="D81" s="44">
        <v>4340</v>
      </c>
      <c r="E81" s="44"/>
      <c r="F81" s="44"/>
      <c r="G81" s="44">
        <f t="shared" si="2"/>
        <v>6055</v>
      </c>
      <c r="H81" s="44">
        <f t="shared" si="2"/>
        <v>3038</v>
      </c>
      <c r="I81" s="44"/>
    </row>
    <row r="82" spans="1:9" ht="26.25" customHeight="1" x14ac:dyDescent="0.25">
      <c r="A82" s="206" t="s">
        <v>627</v>
      </c>
      <c r="B82" s="70" t="s">
        <v>629</v>
      </c>
      <c r="C82" s="44">
        <v>4980</v>
      </c>
      <c r="D82" s="44">
        <v>2500</v>
      </c>
      <c r="E82" s="44">
        <v>1500</v>
      </c>
      <c r="F82" s="44">
        <v>1000</v>
      </c>
      <c r="G82" s="44">
        <f t="shared" si="2"/>
        <v>3486</v>
      </c>
      <c r="H82" s="44">
        <f t="shared" si="2"/>
        <v>1750</v>
      </c>
      <c r="I82" s="44">
        <f t="shared" si="2"/>
        <v>1050</v>
      </c>
    </row>
    <row r="83" spans="1:9" s="79" customFormat="1" ht="76.5" customHeight="1" x14ac:dyDescent="0.25">
      <c r="A83" s="207">
        <v>32</v>
      </c>
      <c r="B83" s="204" t="s">
        <v>811</v>
      </c>
      <c r="C83" s="44">
        <v>8620</v>
      </c>
      <c r="D83" s="44"/>
      <c r="E83" s="44"/>
      <c r="F83" s="44"/>
      <c r="G83" s="44">
        <f t="shared" si="2"/>
        <v>6034</v>
      </c>
      <c r="H83" s="44"/>
      <c r="I83" s="44"/>
    </row>
    <row r="84" spans="1:9" ht="67.5" customHeight="1" x14ac:dyDescent="0.25">
      <c r="A84" s="207">
        <v>33</v>
      </c>
      <c r="B84" s="70" t="s">
        <v>956</v>
      </c>
      <c r="C84" s="44">
        <v>12000</v>
      </c>
      <c r="D84" s="44">
        <v>6068</v>
      </c>
      <c r="E84" s="44">
        <v>3608</v>
      </c>
      <c r="F84" s="44">
        <v>2460</v>
      </c>
      <c r="G84" s="44">
        <f t="shared" si="2"/>
        <v>8400</v>
      </c>
      <c r="H84" s="44">
        <f t="shared" si="2"/>
        <v>4247.5999999999995</v>
      </c>
      <c r="I84" s="44">
        <f t="shared" si="2"/>
        <v>2525.6</v>
      </c>
    </row>
    <row r="85" spans="1:9" s="79" customFormat="1" ht="27.75" customHeight="1" x14ac:dyDescent="0.25">
      <c r="A85" s="207">
        <v>34</v>
      </c>
      <c r="B85" s="204" t="s">
        <v>812</v>
      </c>
      <c r="C85" s="207"/>
      <c r="D85" s="207"/>
      <c r="E85" s="207"/>
      <c r="F85" s="207"/>
      <c r="G85" s="44"/>
      <c r="H85" s="44"/>
      <c r="I85" s="44"/>
    </row>
    <row r="86" spans="1:9" ht="53.25" customHeight="1" x14ac:dyDescent="0.25">
      <c r="A86" s="205" t="s">
        <v>957</v>
      </c>
      <c r="B86" s="70" t="s">
        <v>813</v>
      </c>
      <c r="C86" s="44">
        <v>12000</v>
      </c>
      <c r="D86" s="44">
        <v>5985</v>
      </c>
      <c r="E86" s="44">
        <v>3591</v>
      </c>
      <c r="F86" s="44">
        <v>2394</v>
      </c>
      <c r="G86" s="44">
        <f t="shared" si="2"/>
        <v>8400</v>
      </c>
      <c r="H86" s="44">
        <f t="shared" si="2"/>
        <v>4189.5</v>
      </c>
      <c r="I86" s="44">
        <f t="shared" si="2"/>
        <v>2513.6999999999998</v>
      </c>
    </row>
    <row r="87" spans="1:9" ht="37.5" x14ac:dyDescent="0.25">
      <c r="A87" s="205" t="s">
        <v>958</v>
      </c>
      <c r="B87" s="216" t="s">
        <v>630</v>
      </c>
      <c r="C87" s="1">
        <v>4620</v>
      </c>
      <c r="D87" s="1">
        <v>2772</v>
      </c>
      <c r="E87" s="1">
        <v>1540</v>
      </c>
      <c r="F87" s="1">
        <v>923.99999999999989</v>
      </c>
      <c r="G87" s="44">
        <f t="shared" si="2"/>
        <v>3234</v>
      </c>
      <c r="H87" s="44">
        <f t="shared" si="2"/>
        <v>1940.3999999999999</v>
      </c>
      <c r="I87" s="44">
        <f t="shared" si="2"/>
        <v>1078</v>
      </c>
    </row>
    <row r="88" spans="1:9" s="79" customFormat="1" x14ac:dyDescent="0.25">
      <c r="A88" s="207">
        <v>35</v>
      </c>
      <c r="B88" s="204" t="s">
        <v>1053</v>
      </c>
      <c r="C88" s="207"/>
      <c r="D88" s="207"/>
      <c r="E88" s="207"/>
      <c r="F88" s="207"/>
      <c r="G88" s="44"/>
      <c r="H88" s="44"/>
      <c r="I88" s="44"/>
    </row>
    <row r="89" spans="1:9" ht="62.25" customHeight="1" x14ac:dyDescent="0.25">
      <c r="A89" s="206" t="s">
        <v>959</v>
      </c>
      <c r="B89" s="216" t="s">
        <v>1088</v>
      </c>
      <c r="C89" s="44">
        <v>8600</v>
      </c>
      <c r="D89" s="44">
        <v>4296</v>
      </c>
      <c r="E89" s="44">
        <v>2506</v>
      </c>
      <c r="F89" s="44">
        <v>1790</v>
      </c>
      <c r="G89" s="44">
        <f t="shared" si="2"/>
        <v>6020</v>
      </c>
      <c r="H89" s="44">
        <f t="shared" si="2"/>
        <v>3007.2</v>
      </c>
      <c r="I89" s="44">
        <f t="shared" si="2"/>
        <v>1754.1999999999998</v>
      </c>
    </row>
    <row r="90" spans="1:9" ht="45" customHeight="1" x14ac:dyDescent="0.25">
      <c r="A90" s="206" t="s">
        <v>960</v>
      </c>
      <c r="B90" s="216" t="s">
        <v>814</v>
      </c>
      <c r="C90" s="44">
        <v>8960</v>
      </c>
      <c r="D90" s="44">
        <v>4475</v>
      </c>
      <c r="E90" s="44">
        <v>2685</v>
      </c>
      <c r="F90" s="44">
        <v>1790</v>
      </c>
      <c r="G90" s="44">
        <f t="shared" si="2"/>
        <v>6272</v>
      </c>
      <c r="H90" s="44">
        <f t="shared" si="2"/>
        <v>3132.5</v>
      </c>
      <c r="I90" s="44">
        <f t="shared" si="2"/>
        <v>1879.4999999999998</v>
      </c>
    </row>
    <row r="91" spans="1:9" ht="37.5" x14ac:dyDescent="0.25">
      <c r="A91" s="206" t="s">
        <v>961</v>
      </c>
      <c r="B91" s="216" t="s">
        <v>815</v>
      </c>
      <c r="C91" s="44">
        <v>8600</v>
      </c>
      <c r="D91" s="44">
        <v>4296</v>
      </c>
      <c r="E91" s="44">
        <v>2506</v>
      </c>
      <c r="F91" s="44">
        <v>1790</v>
      </c>
      <c r="G91" s="44">
        <f t="shared" si="2"/>
        <v>6020</v>
      </c>
      <c r="H91" s="44">
        <f t="shared" si="2"/>
        <v>3007.2</v>
      </c>
      <c r="I91" s="44">
        <f t="shared" si="2"/>
        <v>1754.1999999999998</v>
      </c>
    </row>
    <row r="92" spans="1:9" ht="60.75" customHeight="1" x14ac:dyDescent="0.25">
      <c r="A92" s="206" t="s">
        <v>962</v>
      </c>
      <c r="B92" s="216" t="s">
        <v>816</v>
      </c>
      <c r="C92" s="44">
        <v>5760</v>
      </c>
      <c r="D92" s="44">
        <v>3960</v>
      </c>
      <c r="E92" s="44">
        <v>2880</v>
      </c>
      <c r="F92" s="44">
        <v>1800</v>
      </c>
      <c r="G92" s="44">
        <f t="shared" si="2"/>
        <v>4031.9999999999995</v>
      </c>
      <c r="H92" s="44">
        <f t="shared" si="2"/>
        <v>2772</v>
      </c>
      <c r="I92" s="44">
        <f t="shared" si="2"/>
        <v>2015.9999999999998</v>
      </c>
    </row>
    <row r="93" spans="1:9" s="79" customFormat="1" ht="66" customHeight="1" x14ac:dyDescent="0.25">
      <c r="A93" s="207">
        <v>36</v>
      </c>
      <c r="B93" s="204" t="s">
        <v>817</v>
      </c>
      <c r="C93" s="44">
        <v>12700</v>
      </c>
      <c r="D93" s="44">
        <v>6350</v>
      </c>
      <c r="E93" s="44"/>
      <c r="F93" s="44"/>
      <c r="G93" s="44">
        <f t="shared" si="2"/>
        <v>8890</v>
      </c>
      <c r="H93" s="44">
        <f t="shared" si="2"/>
        <v>4445</v>
      </c>
      <c r="I93" s="44"/>
    </row>
    <row r="94" spans="1:9" s="79" customFormat="1" ht="75" x14ac:dyDescent="0.25">
      <c r="A94" s="207">
        <v>37</v>
      </c>
      <c r="B94" s="204" t="s">
        <v>1089</v>
      </c>
      <c r="C94" s="44">
        <v>6590</v>
      </c>
      <c r="D94" s="44"/>
      <c r="E94" s="44"/>
      <c r="F94" s="44"/>
      <c r="G94" s="44">
        <f t="shared" si="2"/>
        <v>4613</v>
      </c>
      <c r="H94" s="44"/>
      <c r="I94" s="44"/>
    </row>
    <row r="95" spans="1:9" s="79" customFormat="1" ht="29.25" customHeight="1" x14ac:dyDescent="0.25">
      <c r="A95" s="207">
        <v>38</v>
      </c>
      <c r="B95" s="204" t="s">
        <v>913</v>
      </c>
      <c r="C95" s="207"/>
      <c r="D95" s="207"/>
      <c r="E95" s="207"/>
      <c r="F95" s="207"/>
      <c r="G95" s="44"/>
      <c r="H95" s="44"/>
      <c r="I95" s="44"/>
    </row>
    <row r="96" spans="1:9" ht="65.25" customHeight="1" x14ac:dyDescent="0.25">
      <c r="A96" s="206" t="s">
        <v>631</v>
      </c>
      <c r="B96" s="70" t="s">
        <v>818</v>
      </c>
      <c r="C96" s="44">
        <v>9760</v>
      </c>
      <c r="D96" s="44"/>
      <c r="E96" s="44"/>
      <c r="F96" s="44"/>
      <c r="G96" s="44">
        <f t="shared" si="2"/>
        <v>6832</v>
      </c>
      <c r="H96" s="44"/>
      <c r="I96" s="44"/>
    </row>
    <row r="97" spans="1:9" ht="56.25" x14ac:dyDescent="0.25">
      <c r="A97" s="206" t="s">
        <v>632</v>
      </c>
      <c r="B97" s="70" t="s">
        <v>819</v>
      </c>
      <c r="C97" s="44">
        <v>8620</v>
      </c>
      <c r="D97" s="44"/>
      <c r="E97" s="44"/>
      <c r="F97" s="44"/>
      <c r="G97" s="44">
        <f t="shared" si="2"/>
        <v>6034</v>
      </c>
      <c r="H97" s="44"/>
      <c r="I97" s="44"/>
    </row>
    <row r="98" spans="1:9" s="79" customFormat="1" ht="56.25" x14ac:dyDescent="0.25">
      <c r="A98" s="207">
        <v>39</v>
      </c>
      <c r="B98" s="204" t="s">
        <v>820</v>
      </c>
      <c r="C98" s="44">
        <v>8570</v>
      </c>
      <c r="D98" s="207"/>
      <c r="E98" s="207"/>
      <c r="F98" s="207"/>
      <c r="G98" s="44">
        <f t="shared" si="2"/>
        <v>5999</v>
      </c>
      <c r="H98" s="44"/>
      <c r="I98" s="44"/>
    </row>
    <row r="99" spans="1:9" s="79" customFormat="1" ht="56.25" x14ac:dyDescent="0.25">
      <c r="A99" s="207">
        <v>40</v>
      </c>
      <c r="B99" s="204" t="s">
        <v>821</v>
      </c>
      <c r="C99" s="44">
        <v>6590</v>
      </c>
      <c r="D99" s="44"/>
      <c r="E99" s="44"/>
      <c r="F99" s="44"/>
      <c r="G99" s="44">
        <f t="shared" si="2"/>
        <v>4613</v>
      </c>
      <c r="H99" s="44"/>
      <c r="I99" s="44"/>
    </row>
    <row r="100" spans="1:9" s="79" customFormat="1" ht="66" customHeight="1" x14ac:dyDescent="0.25">
      <c r="A100" s="207">
        <v>41</v>
      </c>
      <c r="B100" s="204" t="s">
        <v>822</v>
      </c>
      <c r="C100" s="44">
        <v>8620</v>
      </c>
      <c r="D100" s="44"/>
      <c r="E100" s="44"/>
      <c r="F100" s="44"/>
      <c r="G100" s="44">
        <f t="shared" si="2"/>
        <v>6034</v>
      </c>
      <c r="H100" s="44"/>
      <c r="I100" s="44"/>
    </row>
    <row r="101" spans="1:9" s="79" customFormat="1" ht="64.5" customHeight="1" x14ac:dyDescent="0.25">
      <c r="A101" s="207">
        <v>42</v>
      </c>
      <c r="B101" s="204" t="s">
        <v>823</v>
      </c>
      <c r="C101" s="44">
        <v>7560</v>
      </c>
      <c r="D101" s="44"/>
      <c r="E101" s="44"/>
      <c r="F101" s="44"/>
      <c r="G101" s="44">
        <f t="shared" si="2"/>
        <v>5292</v>
      </c>
      <c r="H101" s="44"/>
      <c r="I101" s="44"/>
    </row>
    <row r="102" spans="1:9" s="79" customFormat="1" ht="56.25" x14ac:dyDescent="0.25">
      <c r="A102" s="207">
        <v>43</v>
      </c>
      <c r="B102" s="204" t="s">
        <v>824</v>
      </c>
      <c r="C102" s="44">
        <v>7560</v>
      </c>
      <c r="D102" s="44"/>
      <c r="E102" s="44"/>
      <c r="F102" s="44"/>
      <c r="G102" s="44">
        <f t="shared" si="2"/>
        <v>5292</v>
      </c>
      <c r="H102" s="44"/>
      <c r="I102" s="44"/>
    </row>
    <row r="103" spans="1:9" s="79" customFormat="1" ht="75" x14ac:dyDescent="0.25">
      <c r="A103" s="207">
        <v>44</v>
      </c>
      <c r="B103" s="204" t="s">
        <v>825</v>
      </c>
      <c r="C103" s="44">
        <v>7560</v>
      </c>
      <c r="D103" s="44"/>
      <c r="E103" s="44"/>
      <c r="F103" s="44"/>
      <c r="G103" s="44">
        <f t="shared" si="2"/>
        <v>5292</v>
      </c>
      <c r="H103" s="44"/>
      <c r="I103" s="44"/>
    </row>
    <row r="104" spans="1:9" s="79" customFormat="1" ht="62.1" customHeight="1" x14ac:dyDescent="0.25">
      <c r="A104" s="207">
        <v>45</v>
      </c>
      <c r="B104" s="204" t="s">
        <v>826</v>
      </c>
      <c r="C104" s="44">
        <v>8570</v>
      </c>
      <c r="D104" s="44"/>
      <c r="E104" s="44"/>
      <c r="F104" s="44"/>
      <c r="G104" s="44">
        <f t="shared" si="2"/>
        <v>5999</v>
      </c>
      <c r="H104" s="44"/>
      <c r="I104" s="44"/>
    </row>
    <row r="105" spans="1:9" s="79" customFormat="1" ht="24" customHeight="1" x14ac:dyDescent="0.25">
      <c r="A105" s="207">
        <v>46</v>
      </c>
      <c r="B105" s="204" t="s">
        <v>1054</v>
      </c>
      <c r="C105" s="207"/>
      <c r="D105" s="207"/>
      <c r="E105" s="207"/>
      <c r="F105" s="207"/>
      <c r="G105" s="44"/>
      <c r="H105" s="44"/>
      <c r="I105" s="44"/>
    </row>
    <row r="106" spans="1:9" ht="63" customHeight="1" x14ac:dyDescent="0.25">
      <c r="A106" s="206" t="s">
        <v>755</v>
      </c>
      <c r="B106" s="70" t="s">
        <v>827</v>
      </c>
      <c r="C106" s="44">
        <v>17850</v>
      </c>
      <c r="D106" s="44">
        <v>9000</v>
      </c>
      <c r="E106" s="44"/>
      <c r="F106" s="44"/>
      <c r="G106" s="44">
        <f t="shared" si="2"/>
        <v>12495</v>
      </c>
      <c r="H106" s="44">
        <f t="shared" si="2"/>
        <v>6300</v>
      </c>
      <c r="I106" s="44"/>
    </row>
    <row r="107" spans="1:9" ht="45.95" customHeight="1" x14ac:dyDescent="0.25">
      <c r="A107" s="206" t="s">
        <v>756</v>
      </c>
      <c r="B107" s="70" t="s">
        <v>828</v>
      </c>
      <c r="C107" s="44">
        <v>4800</v>
      </c>
      <c r="D107" s="44">
        <v>2400</v>
      </c>
      <c r="E107" s="44">
        <v>1400</v>
      </c>
      <c r="F107" s="44">
        <v>1000</v>
      </c>
      <c r="G107" s="44">
        <f t="shared" si="2"/>
        <v>3360</v>
      </c>
      <c r="H107" s="44">
        <f t="shared" si="2"/>
        <v>1680</v>
      </c>
      <c r="I107" s="44">
        <f t="shared" si="2"/>
        <v>979.99999999999989</v>
      </c>
    </row>
    <row r="108" spans="1:9" s="79" customFormat="1" ht="64.5" customHeight="1" x14ac:dyDescent="0.25">
      <c r="A108" s="207">
        <v>47</v>
      </c>
      <c r="B108" s="204" t="s">
        <v>829</v>
      </c>
      <c r="C108" s="44">
        <v>8630</v>
      </c>
      <c r="D108" s="44">
        <v>4396</v>
      </c>
      <c r="E108" s="44">
        <v>2669</v>
      </c>
      <c r="F108" s="44">
        <v>1727</v>
      </c>
      <c r="G108" s="44">
        <f t="shared" si="2"/>
        <v>6041</v>
      </c>
      <c r="H108" s="44">
        <f t="shared" si="2"/>
        <v>3077.2</v>
      </c>
      <c r="I108" s="44">
        <f t="shared" si="2"/>
        <v>1868.3</v>
      </c>
    </row>
    <row r="109" spans="1:9" s="79" customFormat="1" ht="63.75" customHeight="1" x14ac:dyDescent="0.25">
      <c r="A109" s="207">
        <v>48</v>
      </c>
      <c r="B109" s="204" t="s">
        <v>963</v>
      </c>
      <c r="C109" s="44">
        <v>8630</v>
      </c>
      <c r="D109" s="44"/>
      <c r="E109" s="44"/>
      <c r="F109" s="44"/>
      <c r="G109" s="44">
        <f t="shared" si="2"/>
        <v>6041</v>
      </c>
      <c r="H109" s="44"/>
      <c r="I109" s="44"/>
    </row>
    <row r="110" spans="1:9" s="79" customFormat="1" ht="27.75" customHeight="1" x14ac:dyDescent="0.25">
      <c r="A110" s="207">
        <v>49</v>
      </c>
      <c r="B110" s="204" t="s">
        <v>830</v>
      </c>
      <c r="C110" s="207"/>
      <c r="D110" s="207"/>
      <c r="E110" s="207"/>
      <c r="F110" s="207"/>
      <c r="G110" s="44"/>
      <c r="H110" s="44"/>
      <c r="I110" s="44"/>
    </row>
    <row r="111" spans="1:9" ht="37.5" x14ac:dyDescent="0.25">
      <c r="A111" s="206" t="s">
        <v>964</v>
      </c>
      <c r="B111" s="70" t="s">
        <v>831</v>
      </c>
      <c r="C111" s="44">
        <v>7500</v>
      </c>
      <c r="D111" s="44">
        <v>3750</v>
      </c>
      <c r="E111" s="44"/>
      <c r="F111" s="44"/>
      <c r="G111" s="44">
        <f t="shared" si="2"/>
        <v>5250</v>
      </c>
      <c r="H111" s="44">
        <f t="shared" si="2"/>
        <v>2625</v>
      </c>
      <c r="I111" s="44"/>
    </row>
    <row r="112" spans="1:9" ht="45" customHeight="1" x14ac:dyDescent="0.25">
      <c r="A112" s="206" t="s">
        <v>965</v>
      </c>
      <c r="B112" s="216" t="s">
        <v>832</v>
      </c>
      <c r="C112" s="44">
        <v>3500</v>
      </c>
      <c r="D112" s="44">
        <v>1746</v>
      </c>
      <c r="E112" s="44">
        <v>970</v>
      </c>
      <c r="F112" s="44">
        <v>776</v>
      </c>
      <c r="G112" s="44">
        <f t="shared" si="2"/>
        <v>2450</v>
      </c>
      <c r="H112" s="44">
        <f t="shared" si="2"/>
        <v>1222.1999999999998</v>
      </c>
      <c r="I112" s="44">
        <f t="shared" si="2"/>
        <v>679</v>
      </c>
    </row>
    <row r="113" spans="1:9" s="79" customFormat="1" ht="60.75" customHeight="1" x14ac:dyDescent="0.25">
      <c r="A113" s="207">
        <v>50</v>
      </c>
      <c r="B113" s="204" t="s">
        <v>833</v>
      </c>
      <c r="C113" s="44">
        <v>6570</v>
      </c>
      <c r="D113" s="207"/>
      <c r="E113" s="207"/>
      <c r="F113" s="207"/>
      <c r="G113" s="44">
        <f t="shared" si="2"/>
        <v>4599</v>
      </c>
      <c r="H113" s="44"/>
      <c r="I113" s="44"/>
    </row>
    <row r="114" spans="1:9" s="79" customFormat="1" ht="24.75" customHeight="1" x14ac:dyDescent="0.25">
      <c r="A114" s="207">
        <v>51</v>
      </c>
      <c r="B114" s="204" t="s">
        <v>834</v>
      </c>
      <c r="C114" s="207"/>
      <c r="D114" s="207"/>
      <c r="E114" s="207"/>
      <c r="F114" s="207"/>
      <c r="G114" s="44"/>
      <c r="H114" s="44"/>
      <c r="I114" s="44"/>
    </row>
    <row r="115" spans="1:9" ht="81.75" customHeight="1" x14ac:dyDescent="0.25">
      <c r="A115" s="206" t="s">
        <v>966</v>
      </c>
      <c r="B115" s="216" t="s">
        <v>835</v>
      </c>
      <c r="C115" s="44">
        <v>12700</v>
      </c>
      <c r="D115" s="44">
        <v>6360</v>
      </c>
      <c r="E115" s="44">
        <v>3816</v>
      </c>
      <c r="F115" s="44"/>
      <c r="G115" s="44">
        <f t="shared" si="2"/>
        <v>8890</v>
      </c>
      <c r="H115" s="44">
        <f t="shared" si="2"/>
        <v>4452</v>
      </c>
      <c r="I115" s="44">
        <f t="shared" si="2"/>
        <v>2671.2</v>
      </c>
    </row>
    <row r="116" spans="1:9" ht="42" customHeight="1" x14ac:dyDescent="0.25">
      <c r="A116" s="206" t="s">
        <v>967</v>
      </c>
      <c r="B116" s="204" t="s">
        <v>836</v>
      </c>
      <c r="C116" s="44">
        <v>6270</v>
      </c>
      <c r="D116" s="44">
        <v>3230</v>
      </c>
      <c r="E116" s="44">
        <v>1900</v>
      </c>
      <c r="F116" s="44"/>
      <c r="G116" s="44">
        <f t="shared" si="2"/>
        <v>4389</v>
      </c>
      <c r="H116" s="44">
        <f t="shared" si="2"/>
        <v>2261</v>
      </c>
      <c r="I116" s="44">
        <f t="shared" si="2"/>
        <v>1330</v>
      </c>
    </row>
    <row r="117" spans="1:9" s="79" customFormat="1" x14ac:dyDescent="0.25">
      <c r="A117" s="207">
        <v>52</v>
      </c>
      <c r="B117" s="204" t="s">
        <v>1052</v>
      </c>
      <c r="C117" s="207"/>
      <c r="D117" s="207"/>
      <c r="E117" s="207"/>
      <c r="F117" s="207"/>
      <c r="G117" s="44"/>
      <c r="H117" s="44"/>
      <c r="I117" s="44"/>
    </row>
    <row r="118" spans="1:9" ht="18.75" hidden="1" customHeight="1" x14ac:dyDescent="0.25">
      <c r="A118" s="207"/>
      <c r="B118" s="204"/>
      <c r="C118" s="44"/>
      <c r="D118" s="44"/>
      <c r="E118" s="44"/>
      <c r="F118" s="44"/>
      <c r="G118" s="44"/>
      <c r="H118" s="44"/>
      <c r="I118" s="44"/>
    </row>
    <row r="119" spans="1:9" ht="37.5" x14ac:dyDescent="0.25">
      <c r="A119" s="206" t="s">
        <v>968</v>
      </c>
      <c r="B119" s="70" t="s">
        <v>837</v>
      </c>
      <c r="C119" s="44">
        <v>12700</v>
      </c>
      <c r="D119" s="44">
        <v>6360</v>
      </c>
      <c r="E119" s="44"/>
      <c r="F119" s="44"/>
      <c r="G119" s="44">
        <f t="shared" si="2"/>
        <v>8890</v>
      </c>
      <c r="H119" s="44">
        <f t="shared" si="2"/>
        <v>4452</v>
      </c>
      <c r="I119" s="44"/>
    </row>
    <row r="120" spans="1:9" ht="56.25" x14ac:dyDescent="0.25">
      <c r="A120" s="206" t="s">
        <v>969</v>
      </c>
      <c r="B120" s="70" t="s">
        <v>838</v>
      </c>
      <c r="C120" s="44">
        <v>7500</v>
      </c>
      <c r="D120" s="44">
        <v>3751</v>
      </c>
      <c r="E120" s="44">
        <v>2299</v>
      </c>
      <c r="F120" s="44"/>
      <c r="G120" s="44">
        <f t="shared" si="2"/>
        <v>5250</v>
      </c>
      <c r="H120" s="44">
        <f t="shared" si="2"/>
        <v>2625.7</v>
      </c>
      <c r="I120" s="44">
        <f t="shared" si="2"/>
        <v>1609.3</v>
      </c>
    </row>
    <row r="121" spans="1:9" s="79" customFormat="1" x14ac:dyDescent="0.25">
      <c r="A121" s="207">
        <v>53</v>
      </c>
      <c r="B121" s="204" t="s">
        <v>839</v>
      </c>
      <c r="C121" s="207"/>
      <c r="D121" s="207"/>
      <c r="E121" s="207"/>
      <c r="F121" s="207"/>
      <c r="G121" s="44"/>
      <c r="H121" s="44"/>
      <c r="I121" s="44"/>
    </row>
    <row r="122" spans="1:9" ht="71.25" customHeight="1" x14ac:dyDescent="0.25">
      <c r="A122" s="206" t="s">
        <v>970</v>
      </c>
      <c r="B122" s="70" t="s">
        <v>840</v>
      </c>
      <c r="C122" s="44">
        <v>12700</v>
      </c>
      <c r="D122" s="44">
        <v>6383.9999999999991</v>
      </c>
      <c r="E122" s="44"/>
      <c r="F122" s="44"/>
      <c r="G122" s="44">
        <f t="shared" si="2"/>
        <v>8890</v>
      </c>
      <c r="H122" s="44">
        <f t="shared" si="2"/>
        <v>4468.7999999999993</v>
      </c>
      <c r="I122" s="44"/>
    </row>
    <row r="123" spans="1:9" ht="86.25" customHeight="1" x14ac:dyDescent="0.25">
      <c r="A123" s="206" t="s">
        <v>971</v>
      </c>
      <c r="B123" s="70" t="s">
        <v>841</v>
      </c>
      <c r="C123" s="44">
        <v>6580</v>
      </c>
      <c r="D123" s="44">
        <v>3348</v>
      </c>
      <c r="E123" s="44"/>
      <c r="F123" s="44"/>
      <c r="G123" s="44">
        <f t="shared" si="2"/>
        <v>4606</v>
      </c>
      <c r="H123" s="44">
        <f t="shared" si="2"/>
        <v>2343.6</v>
      </c>
      <c r="I123" s="44"/>
    </row>
    <row r="124" spans="1:9" s="79" customFormat="1" ht="56.25" x14ac:dyDescent="0.25">
      <c r="A124" s="207">
        <v>54</v>
      </c>
      <c r="B124" s="204" t="s">
        <v>842</v>
      </c>
      <c r="C124" s="44">
        <v>12700</v>
      </c>
      <c r="D124" s="44">
        <v>6351</v>
      </c>
      <c r="E124" s="205"/>
      <c r="F124" s="205"/>
      <c r="G124" s="44">
        <f t="shared" si="2"/>
        <v>8890</v>
      </c>
      <c r="H124" s="44">
        <f t="shared" si="2"/>
        <v>4445.7</v>
      </c>
      <c r="I124" s="44"/>
    </row>
    <row r="125" spans="1:9" s="79" customFormat="1" ht="60.75" customHeight="1" x14ac:dyDescent="0.25">
      <c r="A125" s="207">
        <v>55</v>
      </c>
      <c r="B125" s="204" t="s">
        <v>843</v>
      </c>
      <c r="C125" s="44">
        <v>12700</v>
      </c>
      <c r="D125" s="44">
        <v>6351</v>
      </c>
      <c r="E125" s="207"/>
      <c r="F125" s="207"/>
      <c r="G125" s="44">
        <f t="shared" si="2"/>
        <v>8890</v>
      </c>
      <c r="H125" s="44">
        <f t="shared" si="2"/>
        <v>4445.7</v>
      </c>
      <c r="I125" s="44"/>
    </row>
    <row r="126" spans="1:9" s="79" customFormat="1" x14ac:dyDescent="0.25">
      <c r="A126" s="207">
        <v>56</v>
      </c>
      <c r="B126" s="204" t="s">
        <v>1055</v>
      </c>
      <c r="C126" s="207"/>
      <c r="D126" s="207"/>
      <c r="E126" s="207"/>
      <c r="F126" s="207"/>
      <c r="G126" s="44"/>
      <c r="H126" s="44"/>
      <c r="I126" s="44"/>
    </row>
    <row r="127" spans="1:9" ht="56.25" x14ac:dyDescent="0.25">
      <c r="A127" s="206" t="s">
        <v>972</v>
      </c>
      <c r="B127" s="216" t="s">
        <v>1090</v>
      </c>
      <c r="C127" s="44">
        <v>7560</v>
      </c>
      <c r="D127" s="44">
        <v>3904</v>
      </c>
      <c r="E127" s="44">
        <v>2196</v>
      </c>
      <c r="F127" s="44">
        <v>1464</v>
      </c>
      <c r="G127" s="44">
        <f t="shared" si="2"/>
        <v>5292</v>
      </c>
      <c r="H127" s="44">
        <f t="shared" si="2"/>
        <v>2732.7999999999997</v>
      </c>
      <c r="I127" s="44">
        <f t="shared" si="2"/>
        <v>1537.1999999999998</v>
      </c>
    </row>
    <row r="128" spans="1:9" ht="37.5" x14ac:dyDescent="0.25">
      <c r="A128" s="206" t="s">
        <v>973</v>
      </c>
      <c r="B128" s="216" t="s">
        <v>844</v>
      </c>
      <c r="C128" s="44">
        <v>5115</v>
      </c>
      <c r="D128" s="44">
        <v>3060</v>
      </c>
      <c r="E128" s="44">
        <v>1725</v>
      </c>
      <c r="F128" s="1">
        <v>1020</v>
      </c>
      <c r="G128" s="44">
        <f t="shared" si="2"/>
        <v>3580.5</v>
      </c>
      <c r="H128" s="44">
        <f t="shared" si="2"/>
        <v>2142</v>
      </c>
      <c r="I128" s="44">
        <f t="shared" si="2"/>
        <v>1207.5</v>
      </c>
    </row>
    <row r="129" spans="1:9" s="79" customFormat="1" ht="27.75" customHeight="1" x14ac:dyDescent="0.25">
      <c r="A129" s="207">
        <v>57</v>
      </c>
      <c r="B129" s="204" t="s">
        <v>1056</v>
      </c>
      <c r="C129" s="207"/>
      <c r="D129" s="207"/>
      <c r="E129" s="207"/>
      <c r="F129" s="207"/>
      <c r="G129" s="44"/>
      <c r="H129" s="44"/>
      <c r="I129" s="44"/>
    </row>
    <row r="130" spans="1:9" ht="75.75" customHeight="1" x14ac:dyDescent="0.25">
      <c r="A130" s="206" t="s">
        <v>974</v>
      </c>
      <c r="B130" s="70" t="s">
        <v>1091</v>
      </c>
      <c r="C130" s="44">
        <v>6570</v>
      </c>
      <c r="D130" s="44">
        <v>3287</v>
      </c>
      <c r="E130" s="44">
        <v>1903</v>
      </c>
      <c r="F130" s="44">
        <v>1384</v>
      </c>
      <c r="G130" s="44">
        <f t="shared" si="2"/>
        <v>4599</v>
      </c>
      <c r="H130" s="44">
        <f t="shared" si="2"/>
        <v>2300.8999999999996</v>
      </c>
      <c r="I130" s="44">
        <f t="shared" si="2"/>
        <v>1332.1</v>
      </c>
    </row>
    <row r="131" spans="1:9" ht="56.25" x14ac:dyDescent="0.25">
      <c r="A131" s="206" t="s">
        <v>975</v>
      </c>
      <c r="B131" s="216" t="s">
        <v>1092</v>
      </c>
      <c r="C131" s="44">
        <v>7560</v>
      </c>
      <c r="D131" s="205"/>
      <c r="E131" s="205"/>
      <c r="F131" s="205"/>
      <c r="G131" s="44">
        <f t="shared" si="2"/>
        <v>5292</v>
      </c>
      <c r="H131" s="44"/>
      <c r="I131" s="44"/>
    </row>
    <row r="132" spans="1:9" s="79" customFormat="1" ht="24.75" customHeight="1" x14ac:dyDescent="0.25">
      <c r="A132" s="207">
        <v>58</v>
      </c>
      <c r="B132" s="204" t="s">
        <v>845</v>
      </c>
      <c r="C132" s="207"/>
      <c r="D132" s="207"/>
      <c r="E132" s="207"/>
      <c r="F132" s="207"/>
      <c r="G132" s="44"/>
      <c r="H132" s="44"/>
      <c r="I132" s="44"/>
    </row>
    <row r="133" spans="1:9" ht="51" customHeight="1" x14ac:dyDescent="0.25">
      <c r="A133" s="206" t="s">
        <v>914</v>
      </c>
      <c r="B133" s="70" t="s">
        <v>1093</v>
      </c>
      <c r="C133" s="44">
        <v>6570</v>
      </c>
      <c r="D133" s="44">
        <v>3287</v>
      </c>
      <c r="E133" s="44">
        <v>1903</v>
      </c>
      <c r="F133" s="44">
        <v>1384</v>
      </c>
      <c r="G133" s="44">
        <f t="shared" si="2"/>
        <v>4599</v>
      </c>
      <c r="H133" s="44">
        <f t="shared" si="2"/>
        <v>2300.8999999999996</v>
      </c>
      <c r="I133" s="44">
        <f t="shared" si="2"/>
        <v>1332.1</v>
      </c>
    </row>
    <row r="134" spans="1:9" ht="70.5" customHeight="1" x14ac:dyDescent="0.25">
      <c r="A134" s="206" t="s">
        <v>915</v>
      </c>
      <c r="B134" s="70" t="s">
        <v>1094</v>
      </c>
      <c r="C134" s="44">
        <v>7500</v>
      </c>
      <c r="D134" s="44">
        <v>3759</v>
      </c>
      <c r="E134" s="44">
        <v>2327</v>
      </c>
      <c r="F134" s="44">
        <v>1432</v>
      </c>
      <c r="G134" s="44">
        <f t="shared" si="2"/>
        <v>5250</v>
      </c>
      <c r="H134" s="44">
        <f t="shared" si="2"/>
        <v>2631.2999999999997</v>
      </c>
      <c r="I134" s="44">
        <f t="shared" si="2"/>
        <v>1628.8999999999999</v>
      </c>
    </row>
    <row r="135" spans="1:9" ht="56.25" x14ac:dyDescent="0.25">
      <c r="A135" s="206" t="s">
        <v>976</v>
      </c>
      <c r="B135" s="216" t="s">
        <v>846</v>
      </c>
      <c r="C135" s="44">
        <v>5834.4000000000005</v>
      </c>
      <c r="D135" s="205"/>
      <c r="E135" s="205"/>
      <c r="F135" s="205"/>
      <c r="G135" s="44">
        <f t="shared" si="2"/>
        <v>4084.08</v>
      </c>
      <c r="H135" s="44"/>
      <c r="I135" s="44"/>
    </row>
    <row r="136" spans="1:9" ht="59.25" customHeight="1" x14ac:dyDescent="0.25">
      <c r="A136" s="206" t="s">
        <v>977</v>
      </c>
      <c r="B136" s="216" t="s">
        <v>847</v>
      </c>
      <c r="C136" s="44">
        <v>7560</v>
      </c>
      <c r="D136" s="205"/>
      <c r="E136" s="205"/>
      <c r="F136" s="205"/>
      <c r="G136" s="44">
        <f t="shared" ref="G136:I199" si="3">C136*$G$7</f>
        <v>5292</v>
      </c>
      <c r="H136" s="44"/>
      <c r="I136" s="44"/>
    </row>
    <row r="137" spans="1:9" s="79" customFormat="1" ht="22.5" customHeight="1" x14ac:dyDescent="0.25">
      <c r="A137" s="207">
        <v>59</v>
      </c>
      <c r="B137" s="204" t="s">
        <v>848</v>
      </c>
      <c r="C137" s="207"/>
      <c r="D137" s="207"/>
      <c r="E137" s="207"/>
      <c r="F137" s="207"/>
      <c r="G137" s="44"/>
      <c r="H137" s="44"/>
      <c r="I137" s="44"/>
    </row>
    <row r="138" spans="1:9" ht="60" customHeight="1" x14ac:dyDescent="0.25">
      <c r="A138" s="206" t="s">
        <v>978</v>
      </c>
      <c r="B138" s="70" t="s">
        <v>849</v>
      </c>
      <c r="C138" s="44">
        <v>6000</v>
      </c>
      <c r="D138" s="44">
        <v>3000</v>
      </c>
      <c r="E138" s="44">
        <v>1750</v>
      </c>
      <c r="F138" s="44">
        <v>1250</v>
      </c>
      <c r="G138" s="44">
        <f t="shared" si="3"/>
        <v>4200</v>
      </c>
      <c r="H138" s="44">
        <f t="shared" si="3"/>
        <v>2100</v>
      </c>
      <c r="I138" s="44">
        <f t="shared" si="3"/>
        <v>1225</v>
      </c>
    </row>
    <row r="139" spans="1:9" ht="57" customHeight="1" x14ac:dyDescent="0.25">
      <c r="A139" s="206" t="s">
        <v>979</v>
      </c>
      <c r="B139" s="70" t="s">
        <v>850</v>
      </c>
      <c r="C139" s="44">
        <v>5450</v>
      </c>
      <c r="D139" s="44">
        <v>2889</v>
      </c>
      <c r="E139" s="44">
        <v>1605</v>
      </c>
      <c r="F139" s="44">
        <v>963</v>
      </c>
      <c r="G139" s="44">
        <f t="shared" si="3"/>
        <v>3814.9999999999995</v>
      </c>
      <c r="H139" s="44">
        <f t="shared" si="3"/>
        <v>2022.3</v>
      </c>
      <c r="I139" s="44">
        <f t="shared" si="3"/>
        <v>1123.5</v>
      </c>
    </row>
    <row r="140" spans="1:9" s="79" customFormat="1" ht="51" customHeight="1" x14ac:dyDescent="0.25">
      <c r="A140" s="207">
        <v>60</v>
      </c>
      <c r="B140" s="204" t="s">
        <v>851</v>
      </c>
      <c r="C140" s="44">
        <v>6570</v>
      </c>
      <c r="D140" s="44">
        <v>3287</v>
      </c>
      <c r="E140" s="44">
        <v>1903</v>
      </c>
      <c r="F140" s="44">
        <v>1384</v>
      </c>
      <c r="G140" s="44">
        <f t="shared" si="3"/>
        <v>4599</v>
      </c>
      <c r="H140" s="44">
        <f t="shared" si="3"/>
        <v>2300.8999999999996</v>
      </c>
      <c r="I140" s="44">
        <f t="shared" si="3"/>
        <v>1332.1</v>
      </c>
    </row>
    <row r="141" spans="1:9" s="79" customFormat="1" ht="74.25" customHeight="1" x14ac:dyDescent="0.25">
      <c r="A141" s="207">
        <v>61</v>
      </c>
      <c r="B141" s="204" t="s">
        <v>852</v>
      </c>
      <c r="C141" s="44">
        <v>12700</v>
      </c>
      <c r="D141" s="44">
        <v>6347.9999999999991</v>
      </c>
      <c r="E141" s="44">
        <v>3863.9999999999995</v>
      </c>
      <c r="F141" s="44">
        <v>2484</v>
      </c>
      <c r="G141" s="44">
        <f t="shared" si="3"/>
        <v>8890</v>
      </c>
      <c r="H141" s="44">
        <f t="shared" si="3"/>
        <v>4443.5999999999995</v>
      </c>
      <c r="I141" s="44">
        <f t="shared" si="3"/>
        <v>2704.7999999999997</v>
      </c>
    </row>
    <row r="142" spans="1:9" s="79" customFormat="1" ht="51" customHeight="1" x14ac:dyDescent="0.25">
      <c r="A142" s="207">
        <v>62</v>
      </c>
      <c r="B142" s="204" t="s">
        <v>853</v>
      </c>
      <c r="C142" s="44">
        <v>6570</v>
      </c>
      <c r="D142" s="44">
        <v>3287</v>
      </c>
      <c r="E142" s="44">
        <v>1903</v>
      </c>
      <c r="F142" s="44">
        <v>1384</v>
      </c>
      <c r="G142" s="44">
        <f t="shared" si="3"/>
        <v>4599</v>
      </c>
      <c r="H142" s="44">
        <f t="shared" si="3"/>
        <v>2300.8999999999996</v>
      </c>
      <c r="I142" s="44">
        <f t="shared" si="3"/>
        <v>1332.1</v>
      </c>
    </row>
    <row r="143" spans="1:9" ht="34.5" customHeight="1" x14ac:dyDescent="0.25">
      <c r="A143" s="207">
        <v>63</v>
      </c>
      <c r="B143" s="204" t="s">
        <v>633</v>
      </c>
      <c r="C143" s="44"/>
      <c r="D143" s="44"/>
      <c r="E143" s="44"/>
      <c r="F143" s="44"/>
      <c r="G143" s="44"/>
      <c r="H143" s="44"/>
      <c r="I143" s="44"/>
    </row>
    <row r="144" spans="1:9" ht="127.5" customHeight="1" x14ac:dyDescent="0.25">
      <c r="A144" s="206" t="s">
        <v>795</v>
      </c>
      <c r="B144" s="70" t="s">
        <v>874</v>
      </c>
      <c r="C144" s="44">
        <v>12800</v>
      </c>
      <c r="D144" s="44">
        <v>6408</v>
      </c>
      <c r="E144" s="44">
        <v>3916</v>
      </c>
      <c r="F144" s="44">
        <v>2492</v>
      </c>
      <c r="G144" s="44">
        <f t="shared" si="3"/>
        <v>8960</v>
      </c>
      <c r="H144" s="44">
        <f t="shared" si="3"/>
        <v>4485.5999999999995</v>
      </c>
      <c r="I144" s="44">
        <f t="shared" si="3"/>
        <v>2741.2</v>
      </c>
    </row>
    <row r="145" spans="1:9" ht="129.75" customHeight="1" x14ac:dyDescent="0.25">
      <c r="A145" s="206" t="s">
        <v>796</v>
      </c>
      <c r="B145" s="70" t="s">
        <v>875</v>
      </c>
      <c r="C145" s="44">
        <v>8620</v>
      </c>
      <c r="D145" s="44">
        <v>4304</v>
      </c>
      <c r="E145" s="44">
        <v>2690</v>
      </c>
      <c r="F145" s="44">
        <v>1614</v>
      </c>
      <c r="G145" s="44">
        <f t="shared" si="3"/>
        <v>6034</v>
      </c>
      <c r="H145" s="44">
        <f t="shared" si="3"/>
        <v>3012.7999999999997</v>
      </c>
      <c r="I145" s="44">
        <f t="shared" si="3"/>
        <v>1882.9999999999998</v>
      </c>
    </row>
    <row r="146" spans="1:9" ht="105" customHeight="1" x14ac:dyDescent="0.25">
      <c r="A146" s="206" t="s">
        <v>980</v>
      </c>
      <c r="B146" s="70" t="s">
        <v>876</v>
      </c>
      <c r="C146" s="44">
        <v>8620</v>
      </c>
      <c r="D146" s="44">
        <v>4302</v>
      </c>
      <c r="E146" s="44">
        <v>2629</v>
      </c>
      <c r="F146" s="44">
        <v>1673</v>
      </c>
      <c r="G146" s="44">
        <f t="shared" si="3"/>
        <v>6034</v>
      </c>
      <c r="H146" s="44">
        <f t="shared" si="3"/>
        <v>3011.3999999999996</v>
      </c>
      <c r="I146" s="44">
        <f t="shared" si="3"/>
        <v>1840.3</v>
      </c>
    </row>
    <row r="147" spans="1:9" ht="138.75" customHeight="1" x14ac:dyDescent="0.25">
      <c r="A147" s="206" t="s">
        <v>981</v>
      </c>
      <c r="B147" s="70" t="s">
        <v>877</v>
      </c>
      <c r="C147" s="44">
        <v>6000</v>
      </c>
      <c r="D147" s="44">
        <v>3008</v>
      </c>
      <c r="E147" s="44">
        <v>1880</v>
      </c>
      <c r="F147" s="44">
        <v>1128</v>
      </c>
      <c r="G147" s="44">
        <f t="shared" si="3"/>
        <v>4200</v>
      </c>
      <c r="H147" s="44">
        <f t="shared" si="3"/>
        <v>2105.6</v>
      </c>
      <c r="I147" s="44">
        <f t="shared" si="3"/>
        <v>1316</v>
      </c>
    </row>
    <row r="148" spans="1:9" ht="117" customHeight="1" x14ac:dyDescent="0.25">
      <c r="A148" s="206" t="s">
        <v>982</v>
      </c>
      <c r="B148" s="70" t="s">
        <v>878</v>
      </c>
      <c r="C148" s="44">
        <v>7500</v>
      </c>
      <c r="D148" s="44">
        <v>3744</v>
      </c>
      <c r="E148" s="44">
        <v>2288</v>
      </c>
      <c r="F148" s="44">
        <v>1456</v>
      </c>
      <c r="G148" s="44">
        <f t="shared" si="3"/>
        <v>5250</v>
      </c>
      <c r="H148" s="44">
        <f t="shared" si="3"/>
        <v>2620.7999999999997</v>
      </c>
      <c r="I148" s="44">
        <f t="shared" si="3"/>
        <v>1601.6</v>
      </c>
    </row>
    <row r="149" spans="1:9" ht="117.75" customHeight="1" x14ac:dyDescent="0.25">
      <c r="A149" s="206" t="s">
        <v>983</v>
      </c>
      <c r="B149" s="70" t="s">
        <v>879</v>
      </c>
      <c r="C149" s="44">
        <v>6000</v>
      </c>
      <c r="D149" s="44">
        <v>3008</v>
      </c>
      <c r="E149" s="44">
        <v>1880</v>
      </c>
      <c r="F149" s="44">
        <v>1128</v>
      </c>
      <c r="G149" s="44">
        <f t="shared" si="3"/>
        <v>4200</v>
      </c>
      <c r="H149" s="44">
        <f t="shared" si="3"/>
        <v>2105.6</v>
      </c>
      <c r="I149" s="44">
        <f t="shared" si="3"/>
        <v>1316</v>
      </c>
    </row>
    <row r="150" spans="1:9" ht="131.25" x14ac:dyDescent="0.25">
      <c r="A150" s="206" t="s">
        <v>984</v>
      </c>
      <c r="B150" s="70" t="s">
        <v>880</v>
      </c>
      <c r="C150" s="44">
        <v>7500</v>
      </c>
      <c r="D150" s="44">
        <v>3744</v>
      </c>
      <c r="E150" s="44">
        <v>2288</v>
      </c>
      <c r="F150" s="44">
        <v>1456</v>
      </c>
      <c r="G150" s="44">
        <f t="shared" si="3"/>
        <v>5250</v>
      </c>
      <c r="H150" s="44">
        <f t="shared" si="3"/>
        <v>2620.7999999999997</v>
      </c>
      <c r="I150" s="44">
        <f t="shared" si="3"/>
        <v>1601.6</v>
      </c>
    </row>
    <row r="151" spans="1:9" ht="134.25" customHeight="1" x14ac:dyDescent="0.25">
      <c r="A151" s="206" t="s">
        <v>985</v>
      </c>
      <c r="B151" s="70" t="s">
        <v>881</v>
      </c>
      <c r="C151" s="44">
        <v>6000</v>
      </c>
      <c r="D151" s="44">
        <v>3008</v>
      </c>
      <c r="E151" s="44">
        <v>1880</v>
      </c>
      <c r="F151" s="44">
        <v>1128</v>
      </c>
      <c r="G151" s="44">
        <f t="shared" si="3"/>
        <v>4200</v>
      </c>
      <c r="H151" s="44">
        <f t="shared" si="3"/>
        <v>2105.6</v>
      </c>
      <c r="I151" s="44">
        <f t="shared" si="3"/>
        <v>1316</v>
      </c>
    </row>
    <row r="152" spans="1:9" ht="120.75" customHeight="1" x14ac:dyDescent="0.25">
      <c r="A152" s="206" t="s">
        <v>986</v>
      </c>
      <c r="B152" s="70" t="s">
        <v>882</v>
      </c>
      <c r="C152" s="44">
        <v>7500</v>
      </c>
      <c r="D152" s="44">
        <v>3744</v>
      </c>
      <c r="E152" s="44">
        <v>2288</v>
      </c>
      <c r="F152" s="44">
        <v>1456</v>
      </c>
      <c r="G152" s="44">
        <f t="shared" si="3"/>
        <v>5250</v>
      </c>
      <c r="H152" s="44">
        <f t="shared" si="3"/>
        <v>2620.7999999999997</v>
      </c>
      <c r="I152" s="44">
        <f t="shared" si="3"/>
        <v>1601.6</v>
      </c>
    </row>
    <row r="153" spans="1:9" ht="165" customHeight="1" x14ac:dyDescent="0.25">
      <c r="A153" s="206" t="s">
        <v>987</v>
      </c>
      <c r="B153" s="70" t="s">
        <v>883</v>
      </c>
      <c r="C153" s="44">
        <v>6000</v>
      </c>
      <c r="D153" s="44">
        <v>3008</v>
      </c>
      <c r="E153" s="44">
        <v>1880</v>
      </c>
      <c r="F153" s="44">
        <v>1128</v>
      </c>
      <c r="G153" s="44">
        <f t="shared" si="3"/>
        <v>4200</v>
      </c>
      <c r="H153" s="44">
        <f t="shared" si="3"/>
        <v>2105.6</v>
      </c>
      <c r="I153" s="44">
        <f t="shared" si="3"/>
        <v>1316</v>
      </c>
    </row>
    <row r="154" spans="1:9" ht="131.25" x14ac:dyDescent="0.25">
      <c r="A154" s="206" t="s">
        <v>988</v>
      </c>
      <c r="B154" s="70" t="s">
        <v>884</v>
      </c>
      <c r="C154" s="44">
        <v>8620</v>
      </c>
      <c r="D154" s="44">
        <v>4302</v>
      </c>
      <c r="E154" s="44">
        <v>2629</v>
      </c>
      <c r="F154" s="44">
        <v>1673</v>
      </c>
      <c r="G154" s="44">
        <f t="shared" si="3"/>
        <v>6034</v>
      </c>
      <c r="H154" s="44">
        <f t="shared" si="3"/>
        <v>3011.3999999999996</v>
      </c>
      <c r="I154" s="44">
        <f t="shared" si="3"/>
        <v>1840.3</v>
      </c>
    </row>
    <row r="155" spans="1:9" ht="132" customHeight="1" x14ac:dyDescent="0.25">
      <c r="A155" s="206" t="s">
        <v>989</v>
      </c>
      <c r="B155" s="70" t="s">
        <v>885</v>
      </c>
      <c r="C155" s="44">
        <v>7500</v>
      </c>
      <c r="D155" s="44">
        <v>3744</v>
      </c>
      <c r="E155" s="44">
        <v>2340</v>
      </c>
      <c r="F155" s="44">
        <v>1404</v>
      </c>
      <c r="G155" s="44">
        <f t="shared" si="3"/>
        <v>5250</v>
      </c>
      <c r="H155" s="44">
        <f t="shared" si="3"/>
        <v>2620.7999999999997</v>
      </c>
      <c r="I155" s="44">
        <f t="shared" si="3"/>
        <v>1638</v>
      </c>
    </row>
    <row r="156" spans="1:9" ht="82.5" customHeight="1" x14ac:dyDescent="0.25">
      <c r="A156" s="206" t="s">
        <v>990</v>
      </c>
      <c r="B156" s="70" t="s">
        <v>886</v>
      </c>
      <c r="C156" s="44">
        <v>12700</v>
      </c>
      <c r="D156" s="44">
        <v>6354</v>
      </c>
      <c r="E156" s="44">
        <v>3883</v>
      </c>
      <c r="F156" s="44">
        <v>2471</v>
      </c>
      <c r="G156" s="44">
        <f t="shared" si="3"/>
        <v>8890</v>
      </c>
      <c r="H156" s="44">
        <f t="shared" si="3"/>
        <v>4447.7999999999993</v>
      </c>
      <c r="I156" s="44">
        <f t="shared" si="3"/>
        <v>2718.1</v>
      </c>
    </row>
    <row r="157" spans="1:9" ht="93.75" x14ac:dyDescent="0.25">
      <c r="A157" s="206" t="s">
        <v>991</v>
      </c>
      <c r="B157" s="70" t="s">
        <v>887</v>
      </c>
      <c r="C157" s="44">
        <v>8620</v>
      </c>
      <c r="D157" s="44">
        <v>4304</v>
      </c>
      <c r="E157" s="44">
        <v>2690</v>
      </c>
      <c r="F157" s="44">
        <v>1614</v>
      </c>
      <c r="G157" s="44">
        <f t="shared" si="3"/>
        <v>6034</v>
      </c>
      <c r="H157" s="44">
        <f t="shared" si="3"/>
        <v>3012.7999999999997</v>
      </c>
      <c r="I157" s="44">
        <f t="shared" si="3"/>
        <v>1882.9999999999998</v>
      </c>
    </row>
    <row r="158" spans="1:9" ht="81" customHeight="1" x14ac:dyDescent="0.25">
      <c r="A158" s="206" t="s">
        <v>992</v>
      </c>
      <c r="B158" s="70" t="s">
        <v>888</v>
      </c>
      <c r="C158" s="44">
        <v>8620</v>
      </c>
      <c r="D158" s="44">
        <v>4302</v>
      </c>
      <c r="E158" s="44">
        <v>2629</v>
      </c>
      <c r="F158" s="44">
        <v>1673</v>
      </c>
      <c r="G158" s="44">
        <f t="shared" si="3"/>
        <v>6034</v>
      </c>
      <c r="H158" s="44">
        <f t="shared" si="3"/>
        <v>3011.3999999999996</v>
      </c>
      <c r="I158" s="44">
        <f t="shared" si="3"/>
        <v>1840.3</v>
      </c>
    </row>
    <row r="159" spans="1:9" ht="95.25" customHeight="1" x14ac:dyDescent="0.25">
      <c r="A159" s="206" t="s">
        <v>993</v>
      </c>
      <c r="B159" s="70" t="s">
        <v>889</v>
      </c>
      <c r="C159" s="44">
        <v>6000</v>
      </c>
      <c r="D159" s="44">
        <v>3008</v>
      </c>
      <c r="E159" s="44">
        <v>1880</v>
      </c>
      <c r="F159" s="44">
        <v>1128</v>
      </c>
      <c r="G159" s="44">
        <f t="shared" si="3"/>
        <v>4200</v>
      </c>
      <c r="H159" s="44">
        <f t="shared" si="3"/>
        <v>2105.6</v>
      </c>
      <c r="I159" s="44">
        <f t="shared" si="3"/>
        <v>1316</v>
      </c>
    </row>
    <row r="160" spans="1:9" ht="123" customHeight="1" x14ac:dyDescent="0.25">
      <c r="A160" s="206" t="s">
        <v>994</v>
      </c>
      <c r="B160" s="70" t="s">
        <v>890</v>
      </c>
      <c r="C160" s="44">
        <v>7500</v>
      </c>
      <c r="D160" s="44">
        <v>3744</v>
      </c>
      <c r="E160" s="44">
        <v>2288</v>
      </c>
      <c r="F160" s="44">
        <v>1456</v>
      </c>
      <c r="G160" s="44">
        <f t="shared" si="3"/>
        <v>5250</v>
      </c>
      <c r="H160" s="44">
        <f t="shared" si="3"/>
        <v>2620.7999999999997</v>
      </c>
      <c r="I160" s="44">
        <f t="shared" si="3"/>
        <v>1601.6</v>
      </c>
    </row>
    <row r="161" spans="1:9" ht="118.5" customHeight="1" x14ac:dyDescent="0.25">
      <c r="A161" s="206" t="s">
        <v>995</v>
      </c>
      <c r="B161" s="70" t="s">
        <v>891</v>
      </c>
      <c r="C161" s="44">
        <v>6000</v>
      </c>
      <c r="D161" s="44">
        <v>3008</v>
      </c>
      <c r="E161" s="44">
        <v>1880</v>
      </c>
      <c r="F161" s="44">
        <v>1128</v>
      </c>
      <c r="G161" s="44">
        <f t="shared" si="3"/>
        <v>4200</v>
      </c>
      <c r="H161" s="44">
        <f t="shared" si="3"/>
        <v>2105.6</v>
      </c>
      <c r="I161" s="44">
        <f t="shared" si="3"/>
        <v>1316</v>
      </c>
    </row>
    <row r="162" spans="1:9" ht="126" customHeight="1" x14ac:dyDescent="0.25">
      <c r="A162" s="206" t="s">
        <v>996</v>
      </c>
      <c r="B162" s="70" t="s">
        <v>892</v>
      </c>
      <c r="C162" s="44">
        <v>7500</v>
      </c>
      <c r="D162" s="44">
        <v>3744</v>
      </c>
      <c r="E162" s="44">
        <v>2288</v>
      </c>
      <c r="F162" s="44">
        <v>1456</v>
      </c>
      <c r="G162" s="44">
        <f t="shared" si="3"/>
        <v>5250</v>
      </c>
      <c r="H162" s="44">
        <f t="shared" si="3"/>
        <v>2620.7999999999997</v>
      </c>
      <c r="I162" s="44">
        <f t="shared" si="3"/>
        <v>1601.6</v>
      </c>
    </row>
    <row r="163" spans="1:9" ht="130.5" customHeight="1" x14ac:dyDescent="0.25">
      <c r="A163" s="206" t="s">
        <v>997</v>
      </c>
      <c r="B163" s="70" t="s">
        <v>893</v>
      </c>
      <c r="C163" s="44">
        <v>6000</v>
      </c>
      <c r="D163" s="44">
        <v>3008</v>
      </c>
      <c r="E163" s="44">
        <v>1880</v>
      </c>
      <c r="F163" s="44">
        <v>1128</v>
      </c>
      <c r="G163" s="44">
        <f t="shared" si="3"/>
        <v>4200</v>
      </c>
      <c r="H163" s="44">
        <f t="shared" si="3"/>
        <v>2105.6</v>
      </c>
      <c r="I163" s="44">
        <f t="shared" si="3"/>
        <v>1316</v>
      </c>
    </row>
    <row r="164" spans="1:9" ht="99" customHeight="1" x14ac:dyDescent="0.25">
      <c r="A164" s="206" t="s">
        <v>998</v>
      </c>
      <c r="B164" s="70" t="s">
        <v>894</v>
      </c>
      <c r="C164" s="44">
        <v>6570</v>
      </c>
      <c r="D164" s="44">
        <v>3294</v>
      </c>
      <c r="E164" s="44">
        <v>2013</v>
      </c>
      <c r="F164" s="44">
        <v>1281</v>
      </c>
      <c r="G164" s="44">
        <f t="shared" si="3"/>
        <v>4599</v>
      </c>
      <c r="H164" s="44">
        <f t="shared" si="3"/>
        <v>2305.7999999999997</v>
      </c>
      <c r="I164" s="44">
        <f t="shared" si="3"/>
        <v>1409.1</v>
      </c>
    </row>
    <row r="165" spans="1:9" ht="93.75" x14ac:dyDescent="0.25">
      <c r="A165" s="206" t="s">
        <v>999</v>
      </c>
      <c r="B165" s="70" t="s">
        <v>895</v>
      </c>
      <c r="C165" s="44">
        <v>6000</v>
      </c>
      <c r="D165" s="44">
        <v>3008</v>
      </c>
      <c r="E165" s="44">
        <v>1880</v>
      </c>
      <c r="F165" s="44">
        <v>1128</v>
      </c>
      <c r="G165" s="44">
        <f t="shared" si="3"/>
        <v>4200</v>
      </c>
      <c r="H165" s="44">
        <f t="shared" si="3"/>
        <v>2105.6</v>
      </c>
      <c r="I165" s="44">
        <f t="shared" si="3"/>
        <v>1316</v>
      </c>
    </row>
    <row r="166" spans="1:9" ht="98.1" customHeight="1" x14ac:dyDescent="0.25">
      <c r="A166" s="206" t="s">
        <v>1000</v>
      </c>
      <c r="B166" s="70" t="s">
        <v>896</v>
      </c>
      <c r="C166" s="44">
        <v>6000</v>
      </c>
      <c r="D166" s="44">
        <v>3006</v>
      </c>
      <c r="E166" s="44">
        <v>1837</v>
      </c>
      <c r="F166" s="44">
        <v>1169</v>
      </c>
      <c r="G166" s="44">
        <f t="shared" si="3"/>
        <v>4200</v>
      </c>
      <c r="H166" s="44">
        <f t="shared" si="3"/>
        <v>2104.1999999999998</v>
      </c>
      <c r="I166" s="44">
        <f t="shared" si="3"/>
        <v>1285.8999999999999</v>
      </c>
    </row>
    <row r="167" spans="1:9" ht="93.75" x14ac:dyDescent="0.25">
      <c r="A167" s="206" t="s">
        <v>1001</v>
      </c>
      <c r="B167" s="70" t="s">
        <v>897</v>
      </c>
      <c r="C167" s="44">
        <v>5000</v>
      </c>
      <c r="D167" s="44">
        <v>2496</v>
      </c>
      <c r="E167" s="44">
        <v>1560</v>
      </c>
      <c r="F167" s="44">
        <v>936</v>
      </c>
      <c r="G167" s="44">
        <f t="shared" si="3"/>
        <v>3500</v>
      </c>
      <c r="H167" s="44">
        <f t="shared" si="3"/>
        <v>1747.1999999999998</v>
      </c>
      <c r="I167" s="44">
        <f t="shared" si="3"/>
        <v>1092</v>
      </c>
    </row>
    <row r="168" spans="1:9" ht="131.25" x14ac:dyDescent="0.25">
      <c r="A168" s="206" t="s">
        <v>1002</v>
      </c>
      <c r="B168" s="70" t="s">
        <v>898</v>
      </c>
      <c r="C168" s="44">
        <v>7500</v>
      </c>
      <c r="D168" s="44">
        <v>3744</v>
      </c>
      <c r="E168" s="44">
        <v>2288</v>
      </c>
      <c r="F168" s="44">
        <v>1456</v>
      </c>
      <c r="G168" s="44">
        <f t="shared" si="3"/>
        <v>5250</v>
      </c>
      <c r="H168" s="44">
        <f t="shared" si="3"/>
        <v>2620.7999999999997</v>
      </c>
      <c r="I168" s="44">
        <f t="shared" si="3"/>
        <v>1601.6</v>
      </c>
    </row>
    <row r="169" spans="1:9" ht="150" x14ac:dyDescent="0.25">
      <c r="A169" s="206" t="s">
        <v>1003</v>
      </c>
      <c r="B169" s="70" t="s">
        <v>899</v>
      </c>
      <c r="C169" s="44">
        <v>6000</v>
      </c>
      <c r="D169" s="44">
        <v>3008</v>
      </c>
      <c r="E169" s="44">
        <v>1880</v>
      </c>
      <c r="F169" s="44">
        <v>1128</v>
      </c>
      <c r="G169" s="44">
        <f t="shared" si="3"/>
        <v>4200</v>
      </c>
      <c r="H169" s="44">
        <f t="shared" si="3"/>
        <v>2105.6</v>
      </c>
      <c r="I169" s="44">
        <f t="shared" si="3"/>
        <v>1316</v>
      </c>
    </row>
    <row r="170" spans="1:9" ht="131.25" x14ac:dyDescent="0.25">
      <c r="A170" s="206" t="s">
        <v>1004</v>
      </c>
      <c r="B170" s="70" t="s">
        <v>900</v>
      </c>
      <c r="C170" s="44">
        <v>6570</v>
      </c>
      <c r="D170" s="44">
        <v>3294</v>
      </c>
      <c r="E170" s="44">
        <v>2013</v>
      </c>
      <c r="F170" s="44">
        <v>1281</v>
      </c>
      <c r="G170" s="44">
        <f t="shared" si="3"/>
        <v>4599</v>
      </c>
      <c r="H170" s="44">
        <f t="shared" si="3"/>
        <v>2305.7999999999997</v>
      </c>
      <c r="I170" s="44">
        <f t="shared" si="3"/>
        <v>1409.1</v>
      </c>
    </row>
    <row r="171" spans="1:9" ht="150" x14ac:dyDescent="0.25">
      <c r="A171" s="206" t="s">
        <v>1005</v>
      </c>
      <c r="B171" s="70" t="s">
        <v>901</v>
      </c>
      <c r="C171" s="44">
        <v>6000</v>
      </c>
      <c r="D171" s="44">
        <v>3008</v>
      </c>
      <c r="E171" s="44">
        <v>1880</v>
      </c>
      <c r="F171" s="44">
        <v>1128</v>
      </c>
      <c r="G171" s="44">
        <f t="shared" si="3"/>
        <v>4200</v>
      </c>
      <c r="H171" s="44">
        <f t="shared" si="3"/>
        <v>2105.6</v>
      </c>
      <c r="I171" s="44">
        <f t="shared" si="3"/>
        <v>1316</v>
      </c>
    </row>
    <row r="172" spans="1:9" ht="131.25" x14ac:dyDescent="0.25">
      <c r="A172" s="206" t="s">
        <v>1006</v>
      </c>
      <c r="B172" s="70" t="s">
        <v>902</v>
      </c>
      <c r="C172" s="44">
        <v>7500</v>
      </c>
      <c r="D172" s="44">
        <v>3744</v>
      </c>
      <c r="E172" s="44">
        <v>2288</v>
      </c>
      <c r="F172" s="44">
        <v>1456</v>
      </c>
      <c r="G172" s="44">
        <f t="shared" si="3"/>
        <v>5250</v>
      </c>
      <c r="H172" s="44">
        <f t="shared" si="3"/>
        <v>2620.7999999999997</v>
      </c>
      <c r="I172" s="44">
        <f t="shared" si="3"/>
        <v>1601.6</v>
      </c>
    </row>
    <row r="173" spans="1:9" ht="150" x14ac:dyDescent="0.25">
      <c r="A173" s="206" t="s">
        <v>1007</v>
      </c>
      <c r="B173" s="70" t="s">
        <v>903</v>
      </c>
      <c r="C173" s="44">
        <v>6000</v>
      </c>
      <c r="D173" s="44">
        <v>3008</v>
      </c>
      <c r="E173" s="44">
        <v>1880</v>
      </c>
      <c r="F173" s="44">
        <v>1128</v>
      </c>
      <c r="G173" s="44">
        <f t="shared" si="3"/>
        <v>4200</v>
      </c>
      <c r="H173" s="44">
        <f t="shared" si="3"/>
        <v>2105.6</v>
      </c>
      <c r="I173" s="44">
        <f t="shared" si="3"/>
        <v>1316</v>
      </c>
    </row>
    <row r="174" spans="1:9" ht="144.94999999999999" customHeight="1" x14ac:dyDescent="0.25">
      <c r="A174" s="206" t="s">
        <v>1008</v>
      </c>
      <c r="B174" s="70" t="s">
        <v>904</v>
      </c>
      <c r="C174" s="44">
        <v>6570</v>
      </c>
      <c r="D174" s="44">
        <v>3294</v>
      </c>
      <c r="E174" s="44">
        <v>2013</v>
      </c>
      <c r="F174" s="44">
        <v>1281</v>
      </c>
      <c r="G174" s="44">
        <f t="shared" si="3"/>
        <v>4599</v>
      </c>
      <c r="H174" s="44">
        <f t="shared" si="3"/>
        <v>2305.7999999999997</v>
      </c>
      <c r="I174" s="44">
        <f t="shared" si="3"/>
        <v>1409.1</v>
      </c>
    </row>
    <row r="175" spans="1:9" ht="116.25" customHeight="1" x14ac:dyDescent="0.25">
      <c r="A175" s="206" t="s">
        <v>1009</v>
      </c>
      <c r="B175" s="70" t="s">
        <v>905</v>
      </c>
      <c r="C175" s="44">
        <v>6000</v>
      </c>
      <c r="D175" s="44">
        <v>3008</v>
      </c>
      <c r="E175" s="44">
        <v>1880</v>
      </c>
      <c r="F175" s="44">
        <v>1128</v>
      </c>
      <c r="G175" s="44">
        <f t="shared" si="3"/>
        <v>4200</v>
      </c>
      <c r="H175" s="44">
        <f t="shared" si="3"/>
        <v>2105.6</v>
      </c>
      <c r="I175" s="44">
        <f t="shared" si="3"/>
        <v>1316</v>
      </c>
    </row>
    <row r="176" spans="1:9" ht="117.75" customHeight="1" x14ac:dyDescent="0.25">
      <c r="A176" s="206" t="s">
        <v>1010</v>
      </c>
      <c r="B176" s="70" t="s">
        <v>906</v>
      </c>
      <c r="C176" s="44">
        <v>6570</v>
      </c>
      <c r="D176" s="44">
        <v>3294</v>
      </c>
      <c r="E176" s="44">
        <v>2013</v>
      </c>
      <c r="F176" s="44">
        <v>1281</v>
      </c>
      <c r="G176" s="44">
        <f t="shared" si="3"/>
        <v>4599</v>
      </c>
      <c r="H176" s="44">
        <f t="shared" si="3"/>
        <v>2305.7999999999997</v>
      </c>
      <c r="I176" s="44">
        <f t="shared" si="3"/>
        <v>1409.1</v>
      </c>
    </row>
    <row r="177" spans="1:9" ht="134.25" customHeight="1" x14ac:dyDescent="0.25">
      <c r="A177" s="206" t="s">
        <v>1011</v>
      </c>
      <c r="B177" s="70" t="s">
        <v>907</v>
      </c>
      <c r="C177" s="44">
        <v>6000</v>
      </c>
      <c r="D177" s="44">
        <v>3008</v>
      </c>
      <c r="E177" s="44">
        <v>1880</v>
      </c>
      <c r="F177" s="44">
        <v>1128</v>
      </c>
      <c r="G177" s="44">
        <f t="shared" si="3"/>
        <v>4200</v>
      </c>
      <c r="H177" s="44">
        <f t="shared" si="3"/>
        <v>2105.6</v>
      </c>
      <c r="I177" s="44">
        <f t="shared" si="3"/>
        <v>1316</v>
      </c>
    </row>
    <row r="178" spans="1:9" ht="126" customHeight="1" x14ac:dyDescent="0.25">
      <c r="A178" s="206" t="s">
        <v>1012</v>
      </c>
      <c r="B178" s="70" t="s">
        <v>908</v>
      </c>
      <c r="C178" s="44">
        <v>6000</v>
      </c>
      <c r="D178" s="44">
        <v>3006</v>
      </c>
      <c r="E178" s="44">
        <v>1837</v>
      </c>
      <c r="F178" s="44">
        <v>1169</v>
      </c>
      <c r="G178" s="44">
        <f t="shared" si="3"/>
        <v>4200</v>
      </c>
      <c r="H178" s="44">
        <f t="shared" si="3"/>
        <v>2104.1999999999998</v>
      </c>
      <c r="I178" s="44">
        <f t="shared" si="3"/>
        <v>1285.8999999999999</v>
      </c>
    </row>
    <row r="179" spans="1:9" ht="131.25" x14ac:dyDescent="0.25">
      <c r="A179" s="206" t="s">
        <v>1013</v>
      </c>
      <c r="B179" s="70" t="s">
        <v>909</v>
      </c>
      <c r="C179" s="44">
        <v>5000</v>
      </c>
      <c r="D179" s="44">
        <v>2496</v>
      </c>
      <c r="E179" s="44">
        <v>1560</v>
      </c>
      <c r="F179" s="44">
        <v>936</v>
      </c>
      <c r="G179" s="44">
        <f t="shared" si="3"/>
        <v>3500</v>
      </c>
      <c r="H179" s="44">
        <f t="shared" si="3"/>
        <v>1747.1999999999998</v>
      </c>
      <c r="I179" s="44">
        <f t="shared" si="3"/>
        <v>1092</v>
      </c>
    </row>
    <row r="180" spans="1:9" ht="56.25" x14ac:dyDescent="0.25">
      <c r="A180" s="207">
        <v>64</v>
      </c>
      <c r="B180" s="204" t="s">
        <v>634</v>
      </c>
      <c r="C180" s="44"/>
      <c r="D180" s="44"/>
      <c r="E180" s="44"/>
      <c r="F180" s="44"/>
      <c r="G180" s="44"/>
      <c r="H180" s="44"/>
      <c r="I180" s="44"/>
    </row>
    <row r="181" spans="1:9" ht="61.5" customHeight="1" x14ac:dyDescent="0.25">
      <c r="A181" s="206" t="s">
        <v>797</v>
      </c>
      <c r="B181" s="70" t="s">
        <v>635</v>
      </c>
      <c r="C181" s="44">
        <v>7500</v>
      </c>
      <c r="D181" s="44">
        <v>3750</v>
      </c>
      <c r="E181" s="44">
        <v>2250</v>
      </c>
      <c r="F181" s="44">
        <v>1500</v>
      </c>
      <c r="G181" s="44">
        <f t="shared" si="3"/>
        <v>5250</v>
      </c>
      <c r="H181" s="44">
        <f t="shared" si="3"/>
        <v>2625</v>
      </c>
      <c r="I181" s="44">
        <f t="shared" si="3"/>
        <v>1575</v>
      </c>
    </row>
    <row r="182" spans="1:9" ht="56.25" x14ac:dyDescent="0.25">
      <c r="A182" s="206" t="s">
        <v>798</v>
      </c>
      <c r="B182" s="70" t="s">
        <v>636</v>
      </c>
      <c r="C182" s="44">
        <v>7200</v>
      </c>
      <c r="D182" s="44">
        <v>3600</v>
      </c>
      <c r="E182" s="44">
        <v>2100</v>
      </c>
      <c r="F182" s="44">
        <v>1500</v>
      </c>
      <c r="G182" s="44">
        <f t="shared" si="3"/>
        <v>5040</v>
      </c>
      <c r="H182" s="44">
        <f t="shared" si="3"/>
        <v>2520</v>
      </c>
      <c r="I182" s="44">
        <f t="shared" si="3"/>
        <v>1470</v>
      </c>
    </row>
    <row r="183" spans="1:9" ht="30" customHeight="1" x14ac:dyDescent="0.25">
      <c r="A183" s="207">
        <v>65</v>
      </c>
      <c r="B183" s="204" t="s">
        <v>910</v>
      </c>
      <c r="C183" s="44"/>
      <c r="D183" s="44"/>
      <c r="E183" s="44"/>
      <c r="F183" s="44"/>
      <c r="G183" s="44"/>
      <c r="H183" s="44"/>
      <c r="I183" s="44"/>
    </row>
    <row r="184" spans="1:9" ht="38.25" customHeight="1" x14ac:dyDescent="0.25">
      <c r="A184" s="206" t="s">
        <v>916</v>
      </c>
      <c r="B184" s="70" t="s">
        <v>792</v>
      </c>
      <c r="C184" s="44">
        <v>12700</v>
      </c>
      <c r="D184" s="44">
        <v>6350</v>
      </c>
      <c r="E184" s="44"/>
      <c r="F184" s="44"/>
      <c r="G184" s="44">
        <f t="shared" si="3"/>
        <v>8890</v>
      </c>
      <c r="H184" s="44">
        <f t="shared" si="3"/>
        <v>4445</v>
      </c>
      <c r="I184" s="44"/>
    </row>
    <row r="185" spans="1:9" ht="60.75" customHeight="1" x14ac:dyDescent="0.25">
      <c r="A185" s="206" t="s">
        <v>917</v>
      </c>
      <c r="B185" s="70" t="s">
        <v>1095</v>
      </c>
      <c r="C185" s="44">
        <v>7500</v>
      </c>
      <c r="D185" s="44">
        <v>3750</v>
      </c>
      <c r="E185" s="44">
        <v>2250</v>
      </c>
      <c r="F185" s="44"/>
      <c r="G185" s="44">
        <f t="shared" si="3"/>
        <v>5250</v>
      </c>
      <c r="H185" s="44">
        <f t="shared" si="3"/>
        <v>2625</v>
      </c>
      <c r="I185" s="44">
        <f t="shared" si="3"/>
        <v>1575</v>
      </c>
    </row>
    <row r="186" spans="1:9" ht="37.5" x14ac:dyDescent="0.25">
      <c r="A186" s="206" t="s">
        <v>1014</v>
      </c>
      <c r="B186" s="70" t="s">
        <v>639</v>
      </c>
      <c r="C186" s="44">
        <v>8620</v>
      </c>
      <c r="D186" s="44">
        <v>4301</v>
      </c>
      <c r="E186" s="44">
        <v>2618</v>
      </c>
      <c r="F186" s="44">
        <v>1683</v>
      </c>
      <c r="G186" s="44">
        <f t="shared" si="3"/>
        <v>6034</v>
      </c>
      <c r="H186" s="44">
        <f t="shared" si="3"/>
        <v>3010.7</v>
      </c>
      <c r="I186" s="44">
        <f t="shared" si="3"/>
        <v>1832.6</v>
      </c>
    </row>
    <row r="187" spans="1:9" ht="37.5" x14ac:dyDescent="0.25">
      <c r="A187" s="206" t="s">
        <v>1015</v>
      </c>
      <c r="B187" s="70" t="s">
        <v>638</v>
      </c>
      <c r="C187" s="44">
        <v>7500</v>
      </c>
      <c r="D187" s="44">
        <v>3759</v>
      </c>
      <c r="E187" s="44">
        <v>2327</v>
      </c>
      <c r="F187" s="44">
        <v>1432</v>
      </c>
      <c r="G187" s="44">
        <f t="shared" si="3"/>
        <v>5250</v>
      </c>
      <c r="H187" s="44">
        <f t="shared" si="3"/>
        <v>2631.2999999999997</v>
      </c>
      <c r="I187" s="44">
        <f t="shared" si="3"/>
        <v>1628.8999999999999</v>
      </c>
    </row>
    <row r="188" spans="1:9" ht="51" customHeight="1" x14ac:dyDescent="0.25">
      <c r="A188" s="206" t="s">
        <v>1016</v>
      </c>
      <c r="B188" s="70" t="s">
        <v>637</v>
      </c>
      <c r="C188" s="44">
        <v>6570</v>
      </c>
      <c r="D188" s="44">
        <v>3287</v>
      </c>
      <c r="E188" s="44">
        <v>1903</v>
      </c>
      <c r="F188" s="44">
        <v>1384</v>
      </c>
      <c r="G188" s="44">
        <f t="shared" si="3"/>
        <v>4599</v>
      </c>
      <c r="H188" s="44">
        <f t="shared" si="3"/>
        <v>2300.8999999999996</v>
      </c>
      <c r="I188" s="44">
        <f t="shared" si="3"/>
        <v>1332.1</v>
      </c>
    </row>
    <row r="189" spans="1:9" ht="37.5" x14ac:dyDescent="0.25">
      <c r="A189" s="206" t="s">
        <v>1017</v>
      </c>
      <c r="B189" s="70" t="s">
        <v>643</v>
      </c>
      <c r="C189" s="44">
        <v>6000</v>
      </c>
      <c r="D189" s="44">
        <v>3000</v>
      </c>
      <c r="E189" s="44">
        <v>1800</v>
      </c>
      <c r="F189" s="44">
        <v>1200</v>
      </c>
      <c r="G189" s="44">
        <f t="shared" si="3"/>
        <v>4200</v>
      </c>
      <c r="H189" s="44">
        <f t="shared" si="3"/>
        <v>2100</v>
      </c>
      <c r="I189" s="44">
        <f t="shared" si="3"/>
        <v>1260</v>
      </c>
    </row>
    <row r="190" spans="1:9" ht="37.5" x14ac:dyDescent="0.25">
      <c r="A190" s="206" t="s">
        <v>1018</v>
      </c>
      <c r="B190" s="70" t="s">
        <v>644</v>
      </c>
      <c r="C190" s="44">
        <v>4870</v>
      </c>
      <c r="D190" s="44">
        <v>2544</v>
      </c>
      <c r="E190" s="44">
        <v>1484</v>
      </c>
      <c r="F190" s="44">
        <v>1060</v>
      </c>
      <c r="G190" s="44">
        <f t="shared" si="3"/>
        <v>3409</v>
      </c>
      <c r="H190" s="44">
        <f t="shared" si="3"/>
        <v>1780.8</v>
      </c>
      <c r="I190" s="44">
        <f t="shared" si="3"/>
        <v>1038.8</v>
      </c>
    </row>
    <row r="191" spans="1:9" ht="25.5" customHeight="1" x14ac:dyDescent="0.25">
      <c r="A191" s="206" t="s">
        <v>1019</v>
      </c>
      <c r="B191" s="70" t="s">
        <v>645</v>
      </c>
      <c r="C191" s="44">
        <v>4268</v>
      </c>
      <c r="D191" s="44">
        <v>2133</v>
      </c>
      <c r="E191" s="44">
        <v>1185</v>
      </c>
      <c r="F191" s="44">
        <v>948</v>
      </c>
      <c r="G191" s="44">
        <f t="shared" si="3"/>
        <v>2987.6</v>
      </c>
      <c r="H191" s="44">
        <f t="shared" si="3"/>
        <v>1493.1</v>
      </c>
      <c r="I191" s="44">
        <f t="shared" si="3"/>
        <v>829.5</v>
      </c>
    </row>
    <row r="192" spans="1:9" ht="37.5" x14ac:dyDescent="0.25">
      <c r="A192" s="206" t="s">
        <v>1020</v>
      </c>
      <c r="B192" s="70" t="s">
        <v>640</v>
      </c>
      <c r="C192" s="44">
        <v>5070</v>
      </c>
      <c r="D192" s="44">
        <v>2532</v>
      </c>
      <c r="E192" s="44">
        <v>1477</v>
      </c>
      <c r="F192" s="44">
        <v>1055</v>
      </c>
      <c r="G192" s="44">
        <f t="shared" si="3"/>
        <v>3549</v>
      </c>
      <c r="H192" s="44">
        <f t="shared" si="3"/>
        <v>1772.3999999999999</v>
      </c>
      <c r="I192" s="44">
        <f t="shared" si="3"/>
        <v>1033.8999999999999</v>
      </c>
    </row>
    <row r="193" spans="1:9" ht="37.5" x14ac:dyDescent="0.25">
      <c r="A193" s="206" t="s">
        <v>1021</v>
      </c>
      <c r="B193" s="70" t="s">
        <v>641</v>
      </c>
      <c r="C193" s="44">
        <v>5550</v>
      </c>
      <c r="D193" s="44">
        <v>2772</v>
      </c>
      <c r="E193" s="44">
        <v>1584</v>
      </c>
      <c r="F193" s="44">
        <v>1188</v>
      </c>
      <c r="G193" s="44">
        <f t="shared" si="3"/>
        <v>3884.9999999999995</v>
      </c>
      <c r="H193" s="44">
        <f t="shared" si="3"/>
        <v>1940.3999999999999</v>
      </c>
      <c r="I193" s="44">
        <f t="shared" si="3"/>
        <v>1108.8</v>
      </c>
    </row>
    <row r="194" spans="1:9" ht="37.5" x14ac:dyDescent="0.25">
      <c r="A194" s="206" t="s">
        <v>1022</v>
      </c>
      <c r="B194" s="70" t="s">
        <v>642</v>
      </c>
      <c r="C194" s="44">
        <v>6050</v>
      </c>
      <c r="D194" s="44">
        <v>3026</v>
      </c>
      <c r="E194" s="44">
        <v>1780</v>
      </c>
      <c r="F194" s="44">
        <v>1246</v>
      </c>
      <c r="G194" s="44">
        <f t="shared" si="3"/>
        <v>4235</v>
      </c>
      <c r="H194" s="44">
        <f t="shared" si="3"/>
        <v>2118.1999999999998</v>
      </c>
      <c r="I194" s="44">
        <f t="shared" si="3"/>
        <v>1246</v>
      </c>
    </row>
    <row r="195" spans="1:9" ht="36" customHeight="1" x14ac:dyDescent="0.25">
      <c r="A195" s="206" t="s">
        <v>1023</v>
      </c>
      <c r="B195" s="70" t="s">
        <v>646</v>
      </c>
      <c r="C195" s="44">
        <v>3120</v>
      </c>
      <c r="D195" s="44">
        <v>1639</v>
      </c>
      <c r="E195" s="44">
        <v>894</v>
      </c>
      <c r="F195" s="44">
        <v>596</v>
      </c>
      <c r="G195" s="44">
        <f t="shared" si="3"/>
        <v>2184</v>
      </c>
      <c r="H195" s="44">
        <f t="shared" si="3"/>
        <v>1147.3</v>
      </c>
      <c r="I195" s="44">
        <f t="shared" si="3"/>
        <v>625.79999999999995</v>
      </c>
    </row>
    <row r="196" spans="1:9" ht="36.75" customHeight="1" x14ac:dyDescent="0.25">
      <c r="A196" s="206" t="s">
        <v>1024</v>
      </c>
      <c r="B196" s="70" t="s">
        <v>647</v>
      </c>
      <c r="C196" s="44">
        <v>2860</v>
      </c>
      <c r="D196" s="44">
        <v>1432</v>
      </c>
      <c r="E196" s="44">
        <v>895</v>
      </c>
      <c r="F196" s="44">
        <v>537</v>
      </c>
      <c r="G196" s="44">
        <f t="shared" si="3"/>
        <v>2001.9999999999998</v>
      </c>
      <c r="H196" s="44">
        <f t="shared" si="3"/>
        <v>1002.4</v>
      </c>
      <c r="I196" s="44">
        <f t="shared" si="3"/>
        <v>626.5</v>
      </c>
    </row>
    <row r="197" spans="1:9" ht="33" customHeight="1" x14ac:dyDescent="0.25">
      <c r="A197" s="206" t="s">
        <v>1025</v>
      </c>
      <c r="B197" s="70" t="s">
        <v>648</v>
      </c>
      <c r="C197" s="44">
        <v>2560</v>
      </c>
      <c r="D197" s="44">
        <v>1281</v>
      </c>
      <c r="E197" s="44">
        <v>732</v>
      </c>
      <c r="F197" s="44">
        <v>549</v>
      </c>
      <c r="G197" s="44">
        <f t="shared" si="3"/>
        <v>1792</v>
      </c>
      <c r="H197" s="44">
        <f t="shared" si="3"/>
        <v>896.69999999999993</v>
      </c>
      <c r="I197" s="44">
        <f t="shared" si="3"/>
        <v>512.4</v>
      </c>
    </row>
    <row r="198" spans="1:9" ht="30" customHeight="1" x14ac:dyDescent="0.25">
      <c r="A198" s="207">
        <v>66</v>
      </c>
      <c r="B198" s="204" t="s">
        <v>911</v>
      </c>
      <c r="C198" s="44"/>
      <c r="D198" s="44"/>
      <c r="E198" s="44"/>
      <c r="F198" s="44"/>
      <c r="G198" s="44"/>
      <c r="H198" s="44"/>
      <c r="I198" s="44"/>
    </row>
    <row r="199" spans="1:9" ht="37.5" x14ac:dyDescent="0.25">
      <c r="A199" s="206" t="s">
        <v>1026</v>
      </c>
      <c r="B199" s="70" t="s">
        <v>639</v>
      </c>
      <c r="C199" s="44">
        <v>6034</v>
      </c>
      <c r="D199" s="44">
        <v>3010.7</v>
      </c>
      <c r="E199" s="44">
        <v>1832.6</v>
      </c>
      <c r="F199" s="44">
        <v>1178.0999999999999</v>
      </c>
      <c r="G199" s="44">
        <f t="shared" si="3"/>
        <v>4223.8</v>
      </c>
      <c r="H199" s="44">
        <f t="shared" si="3"/>
        <v>2107.4899999999998</v>
      </c>
      <c r="I199" s="44">
        <f t="shared" si="3"/>
        <v>1282.82</v>
      </c>
    </row>
    <row r="200" spans="1:9" ht="37.5" x14ac:dyDescent="0.25">
      <c r="A200" s="206" t="s">
        <v>1027</v>
      </c>
      <c r="B200" s="70" t="s">
        <v>638</v>
      </c>
      <c r="C200" s="44">
        <v>5250</v>
      </c>
      <c r="D200" s="44">
        <v>2631.2999999999997</v>
      </c>
      <c r="E200" s="44">
        <v>1628.8999999999999</v>
      </c>
      <c r="F200" s="44">
        <v>1002.4</v>
      </c>
      <c r="G200" s="44">
        <f t="shared" ref="G200:I219" si="4">C200*$G$7</f>
        <v>3674.9999999999995</v>
      </c>
      <c r="H200" s="44">
        <f t="shared" si="4"/>
        <v>1841.9099999999996</v>
      </c>
      <c r="I200" s="44">
        <f t="shared" si="4"/>
        <v>1140.2299999999998</v>
      </c>
    </row>
    <row r="201" spans="1:9" ht="49.5" customHeight="1" x14ac:dyDescent="0.25">
      <c r="A201" s="206" t="s">
        <v>1028</v>
      </c>
      <c r="B201" s="70" t="s">
        <v>637</v>
      </c>
      <c r="C201" s="44">
        <v>4599</v>
      </c>
      <c r="D201" s="44">
        <v>2300.8999999999996</v>
      </c>
      <c r="E201" s="44">
        <v>1332.1</v>
      </c>
      <c r="F201" s="44">
        <v>968.8</v>
      </c>
      <c r="G201" s="44">
        <f t="shared" si="4"/>
        <v>3219.2999999999997</v>
      </c>
      <c r="H201" s="44">
        <f t="shared" si="4"/>
        <v>1610.6299999999997</v>
      </c>
      <c r="I201" s="44">
        <f t="shared" si="4"/>
        <v>932.46999999999991</v>
      </c>
    </row>
    <row r="202" spans="1:9" s="124" customFormat="1" ht="37.5" x14ac:dyDescent="0.3">
      <c r="A202" s="206" t="s">
        <v>1029</v>
      </c>
      <c r="B202" s="70" t="s">
        <v>643</v>
      </c>
      <c r="C202" s="44">
        <v>4440</v>
      </c>
      <c r="D202" s="44">
        <v>2220</v>
      </c>
      <c r="E202" s="44">
        <v>1332</v>
      </c>
      <c r="F202" s="44">
        <v>888</v>
      </c>
      <c r="G202" s="44">
        <f t="shared" si="4"/>
        <v>3108</v>
      </c>
      <c r="H202" s="44">
        <f t="shared" si="4"/>
        <v>1554</v>
      </c>
      <c r="I202" s="44">
        <f t="shared" si="4"/>
        <v>932.4</v>
      </c>
    </row>
    <row r="203" spans="1:9" s="124" customFormat="1" ht="37.5" x14ac:dyDescent="0.3">
      <c r="A203" s="206" t="s">
        <v>1030</v>
      </c>
      <c r="B203" s="70" t="s">
        <v>644</v>
      </c>
      <c r="C203" s="44">
        <v>3400</v>
      </c>
      <c r="D203" s="44">
        <v>1776</v>
      </c>
      <c r="E203" s="44">
        <v>1036</v>
      </c>
      <c r="F203" s="44">
        <v>740</v>
      </c>
      <c r="G203" s="44">
        <f t="shared" si="4"/>
        <v>2380</v>
      </c>
      <c r="H203" s="44">
        <f t="shared" si="4"/>
        <v>1243.1999999999998</v>
      </c>
      <c r="I203" s="44">
        <f t="shared" si="4"/>
        <v>725.19999999999993</v>
      </c>
    </row>
    <row r="204" spans="1:9" s="124" customFormat="1" ht="25.5" customHeight="1" x14ac:dyDescent="0.3">
      <c r="A204" s="206" t="s">
        <v>1031</v>
      </c>
      <c r="B204" s="70" t="s">
        <v>645</v>
      </c>
      <c r="C204" s="44">
        <v>2664</v>
      </c>
      <c r="D204" s="44">
        <v>1332</v>
      </c>
      <c r="E204" s="44">
        <v>740</v>
      </c>
      <c r="F204" s="44">
        <v>592</v>
      </c>
      <c r="G204" s="44">
        <f t="shared" si="4"/>
        <v>1864.8</v>
      </c>
      <c r="H204" s="44">
        <f t="shared" si="4"/>
        <v>932.4</v>
      </c>
      <c r="I204" s="44">
        <f t="shared" si="4"/>
        <v>518</v>
      </c>
    </row>
    <row r="205" spans="1:9" ht="37.5" x14ac:dyDescent="0.25">
      <c r="A205" s="206" t="s">
        <v>1032</v>
      </c>
      <c r="B205" s="70" t="s">
        <v>640</v>
      </c>
      <c r="C205" s="44">
        <v>3550</v>
      </c>
      <c r="D205" s="44">
        <v>1772.3999999999999</v>
      </c>
      <c r="E205" s="44">
        <v>1033.8999999999999</v>
      </c>
      <c r="F205" s="44">
        <v>738.5</v>
      </c>
      <c r="G205" s="44">
        <f t="shared" si="4"/>
        <v>2485</v>
      </c>
      <c r="H205" s="44">
        <f t="shared" si="4"/>
        <v>1240.6799999999998</v>
      </c>
      <c r="I205" s="44">
        <f t="shared" si="4"/>
        <v>723.7299999999999</v>
      </c>
    </row>
    <row r="206" spans="1:9" ht="37.5" x14ac:dyDescent="0.25">
      <c r="A206" s="206" t="s">
        <v>1033</v>
      </c>
      <c r="B206" s="70" t="s">
        <v>641</v>
      </c>
      <c r="C206" s="44">
        <v>3884.9999999999995</v>
      </c>
      <c r="D206" s="44">
        <v>1940.3999999999999</v>
      </c>
      <c r="E206" s="44">
        <v>1108.8</v>
      </c>
      <c r="F206" s="44">
        <v>831.59999999999991</v>
      </c>
      <c r="G206" s="44">
        <f t="shared" si="4"/>
        <v>2719.4999999999995</v>
      </c>
      <c r="H206" s="44">
        <f t="shared" si="4"/>
        <v>1358.2799999999997</v>
      </c>
      <c r="I206" s="44">
        <f t="shared" si="4"/>
        <v>776.16</v>
      </c>
    </row>
    <row r="207" spans="1:9" ht="37.5" x14ac:dyDescent="0.25">
      <c r="A207" s="206" t="s">
        <v>1034</v>
      </c>
      <c r="B207" s="70" t="s">
        <v>642</v>
      </c>
      <c r="C207" s="44">
        <v>4235</v>
      </c>
      <c r="D207" s="44">
        <v>2118.1999999999998</v>
      </c>
      <c r="E207" s="44">
        <v>1246</v>
      </c>
      <c r="F207" s="44">
        <v>872.19999999999993</v>
      </c>
      <c r="G207" s="44">
        <f t="shared" si="4"/>
        <v>2964.5</v>
      </c>
      <c r="H207" s="44">
        <f t="shared" si="4"/>
        <v>1482.7399999999998</v>
      </c>
      <c r="I207" s="44">
        <f t="shared" si="4"/>
        <v>872.19999999999993</v>
      </c>
    </row>
    <row r="208" spans="1:9" ht="39" customHeight="1" x14ac:dyDescent="0.25">
      <c r="A208" s="206" t="s">
        <v>1035</v>
      </c>
      <c r="B208" s="70" t="s">
        <v>646</v>
      </c>
      <c r="C208" s="44">
        <v>2520</v>
      </c>
      <c r="D208" s="44">
        <v>1320</v>
      </c>
      <c r="E208" s="44">
        <v>720</v>
      </c>
      <c r="F208" s="44">
        <v>480</v>
      </c>
      <c r="G208" s="44">
        <f t="shared" si="4"/>
        <v>1764</v>
      </c>
      <c r="H208" s="44">
        <f t="shared" si="4"/>
        <v>923.99999999999989</v>
      </c>
      <c r="I208" s="44">
        <f t="shared" si="4"/>
        <v>503.99999999999994</v>
      </c>
    </row>
    <row r="209" spans="1:9" ht="33" customHeight="1" x14ac:dyDescent="0.25">
      <c r="A209" s="206" t="s">
        <v>1036</v>
      </c>
      <c r="B209" s="70" t="s">
        <v>647</v>
      </c>
      <c r="C209" s="44">
        <v>1920</v>
      </c>
      <c r="D209" s="44">
        <v>960</v>
      </c>
      <c r="E209" s="44">
        <v>600</v>
      </c>
      <c r="F209" s="44">
        <v>360</v>
      </c>
      <c r="G209" s="44">
        <f t="shared" si="4"/>
        <v>1344</v>
      </c>
      <c r="H209" s="44">
        <f t="shared" si="4"/>
        <v>672</v>
      </c>
      <c r="I209" s="44">
        <f t="shared" si="4"/>
        <v>420</v>
      </c>
    </row>
    <row r="210" spans="1:9" ht="33" customHeight="1" x14ac:dyDescent="0.25">
      <c r="A210" s="206" t="s">
        <v>1037</v>
      </c>
      <c r="B210" s="70" t="s">
        <v>648</v>
      </c>
      <c r="C210" s="44">
        <v>1680</v>
      </c>
      <c r="D210" s="44">
        <v>840</v>
      </c>
      <c r="E210" s="44">
        <v>480</v>
      </c>
      <c r="F210" s="44">
        <v>360</v>
      </c>
      <c r="G210" s="44">
        <f t="shared" si="4"/>
        <v>1176</v>
      </c>
      <c r="H210" s="44">
        <f t="shared" si="4"/>
        <v>588</v>
      </c>
      <c r="I210" s="44">
        <f t="shared" si="4"/>
        <v>336</v>
      </c>
    </row>
    <row r="211" spans="1:9" ht="46.5" customHeight="1" x14ac:dyDescent="0.25">
      <c r="A211" s="207">
        <v>67</v>
      </c>
      <c r="B211" s="204" t="s">
        <v>860</v>
      </c>
      <c r="C211" s="44">
        <v>1800</v>
      </c>
      <c r="D211" s="44">
        <v>900</v>
      </c>
      <c r="E211" s="44">
        <v>600</v>
      </c>
      <c r="F211" s="44">
        <v>300</v>
      </c>
      <c r="G211" s="44">
        <f t="shared" si="4"/>
        <v>1260</v>
      </c>
      <c r="H211" s="44">
        <f t="shared" si="4"/>
        <v>630</v>
      </c>
      <c r="I211" s="44">
        <f t="shared" si="4"/>
        <v>420</v>
      </c>
    </row>
    <row r="212" spans="1:9" ht="40.5" customHeight="1" x14ac:dyDescent="0.25">
      <c r="A212" s="207">
        <v>68</v>
      </c>
      <c r="B212" s="204" t="s">
        <v>861</v>
      </c>
      <c r="C212" s="44">
        <v>12260</v>
      </c>
      <c r="D212" s="44">
        <v>6191</v>
      </c>
      <c r="E212" s="44"/>
      <c r="F212" s="44"/>
      <c r="G212" s="44">
        <f t="shared" si="4"/>
        <v>8582</v>
      </c>
      <c r="H212" s="44">
        <f t="shared" si="4"/>
        <v>4333.7</v>
      </c>
      <c r="I212" s="44"/>
    </row>
    <row r="213" spans="1:9" ht="58.5" customHeight="1" x14ac:dyDescent="0.25">
      <c r="A213" s="207">
        <v>69</v>
      </c>
      <c r="B213" s="204" t="s">
        <v>12</v>
      </c>
      <c r="C213" s="44">
        <v>6000</v>
      </c>
      <c r="D213" s="44">
        <v>2996</v>
      </c>
      <c r="E213" s="44">
        <v>1712</v>
      </c>
      <c r="F213" s="44">
        <v>1284</v>
      </c>
      <c r="G213" s="44">
        <f t="shared" si="4"/>
        <v>4200</v>
      </c>
      <c r="H213" s="44">
        <f t="shared" si="4"/>
        <v>2097.1999999999998</v>
      </c>
      <c r="I213" s="44">
        <f t="shared" si="4"/>
        <v>1198.3999999999999</v>
      </c>
    </row>
    <row r="214" spans="1:9" ht="48" customHeight="1" x14ac:dyDescent="0.25">
      <c r="A214" s="218">
        <v>70</v>
      </c>
      <c r="B214" s="219" t="s">
        <v>650</v>
      </c>
      <c r="C214" s="220"/>
      <c r="D214" s="221"/>
      <c r="E214" s="221"/>
      <c r="F214" s="221"/>
      <c r="G214" s="44"/>
      <c r="H214" s="44"/>
      <c r="I214" s="44"/>
    </row>
    <row r="215" spans="1:9" ht="24" customHeight="1" x14ac:dyDescent="0.25">
      <c r="A215" s="222" t="s">
        <v>862</v>
      </c>
      <c r="B215" s="223" t="s">
        <v>651</v>
      </c>
      <c r="C215" s="221">
        <v>40000</v>
      </c>
      <c r="D215" s="221"/>
      <c r="E215" s="221"/>
      <c r="F215" s="221"/>
      <c r="G215" s="44">
        <f t="shared" si="4"/>
        <v>28000</v>
      </c>
      <c r="H215" s="44"/>
      <c r="I215" s="44"/>
    </row>
    <row r="216" spans="1:9" ht="28.5" customHeight="1" x14ac:dyDescent="0.25">
      <c r="A216" s="222" t="s">
        <v>863</v>
      </c>
      <c r="B216" s="223" t="s">
        <v>652</v>
      </c>
      <c r="C216" s="221">
        <v>28000</v>
      </c>
      <c r="D216" s="221"/>
      <c r="E216" s="221"/>
      <c r="F216" s="221"/>
      <c r="G216" s="44">
        <f t="shared" si="4"/>
        <v>19600</v>
      </c>
      <c r="H216" s="44"/>
      <c r="I216" s="44"/>
    </row>
    <row r="217" spans="1:9" x14ac:dyDescent="0.25">
      <c r="A217" s="222" t="s">
        <v>918</v>
      </c>
      <c r="B217" s="223" t="s">
        <v>653</v>
      </c>
      <c r="C217" s="221">
        <v>18000</v>
      </c>
      <c r="D217" s="221"/>
      <c r="E217" s="221"/>
      <c r="F217" s="221"/>
      <c r="G217" s="44">
        <f t="shared" si="4"/>
        <v>12600</v>
      </c>
      <c r="H217" s="44"/>
      <c r="I217" s="44"/>
    </row>
    <row r="218" spans="1:9" x14ac:dyDescent="0.25">
      <c r="A218" s="222" t="s">
        <v>919</v>
      </c>
      <c r="B218" s="223" t="s">
        <v>654</v>
      </c>
      <c r="C218" s="221">
        <v>16000</v>
      </c>
      <c r="D218" s="221"/>
      <c r="E218" s="221"/>
      <c r="F218" s="221"/>
      <c r="G218" s="44">
        <f t="shared" si="4"/>
        <v>11200</v>
      </c>
      <c r="H218" s="44"/>
      <c r="I218" s="44"/>
    </row>
    <row r="219" spans="1:9" ht="37.5" x14ac:dyDescent="0.25">
      <c r="A219" s="222" t="s">
        <v>1038</v>
      </c>
      <c r="B219" s="223" t="s">
        <v>799</v>
      </c>
      <c r="C219" s="221">
        <v>18000</v>
      </c>
      <c r="D219" s="221"/>
      <c r="E219" s="221"/>
      <c r="F219" s="221"/>
      <c r="G219" s="44">
        <f t="shared" si="4"/>
        <v>12600</v>
      </c>
      <c r="H219" s="44"/>
      <c r="I219" s="44"/>
    </row>
    <row r="220" spans="1:9" ht="18.75" hidden="1" customHeight="1" x14ac:dyDescent="0.25">
      <c r="A220" s="224"/>
      <c r="B220" s="215"/>
      <c r="C220" s="224"/>
      <c r="D220" s="224"/>
      <c r="E220" s="224"/>
      <c r="F220" s="224"/>
      <c r="G220" s="224"/>
      <c r="H220" s="224"/>
      <c r="I220" s="224"/>
    </row>
  </sheetData>
  <autoFilter ref="A7:WUJ219"/>
  <mergeCells count="10">
    <mergeCell ref="A1:I1"/>
    <mergeCell ref="A4:B4"/>
    <mergeCell ref="C4:F4"/>
    <mergeCell ref="G4:I4"/>
    <mergeCell ref="A5:A6"/>
    <mergeCell ref="B5:B6"/>
    <mergeCell ref="C5:F5"/>
    <mergeCell ref="G5:I5"/>
    <mergeCell ref="A2:I2"/>
    <mergeCell ref="A3:I3"/>
  </mergeCells>
  <pageMargins left="0.28740157500000002" right="0.240551181" top="0.49055118110236201" bottom="0.34055118099999998" header="0.118110236220472" footer="0.118110236220472"/>
  <pageSetup paperSize="9" scale="85" orientation="portrait" useFirstPageNumber="1"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zoomScaleNormal="100" zoomScalePageLayoutView="115" workbookViewId="0">
      <selection activeCell="C9" sqref="C9"/>
    </sheetView>
  </sheetViews>
  <sheetFormatPr defaultRowHeight="15.75" x14ac:dyDescent="0.25"/>
  <cols>
    <col min="1" max="1" width="5.28515625" style="5" customWidth="1"/>
    <col min="2" max="2" width="68.7109375" style="5" customWidth="1"/>
    <col min="3" max="3" width="11.42578125" style="22" customWidth="1"/>
    <col min="4" max="4" width="12.140625" style="19" customWidth="1"/>
    <col min="5" max="5" width="13.85546875" style="23" customWidth="1"/>
    <col min="6" max="253" width="9.140625" style="4"/>
    <col min="254" max="254" width="5.28515625" style="4" customWidth="1"/>
    <col min="255" max="255" width="43.7109375" style="4" customWidth="1"/>
    <col min="256" max="256" width="8.42578125" style="4" customWidth="1"/>
    <col min="257" max="258" width="7.85546875" style="4" customWidth="1"/>
    <col min="259" max="259" width="8.42578125" style="4" customWidth="1"/>
    <col min="260" max="260" width="7.85546875" style="4" customWidth="1"/>
    <col min="261" max="261" width="11.140625" style="4" customWidth="1"/>
    <col min="262" max="509" width="9.140625" style="4"/>
    <col min="510" max="510" width="5.28515625" style="4" customWidth="1"/>
    <col min="511" max="511" width="43.7109375" style="4" customWidth="1"/>
    <col min="512" max="512" width="8.42578125" style="4" customWidth="1"/>
    <col min="513" max="514" width="7.85546875" style="4" customWidth="1"/>
    <col min="515" max="515" width="8.42578125" style="4" customWidth="1"/>
    <col min="516" max="516" width="7.85546875" style="4" customWidth="1"/>
    <col min="517" max="517" width="11.140625" style="4" customWidth="1"/>
    <col min="518" max="765" width="9.140625" style="4"/>
    <col min="766" max="766" width="5.28515625" style="4" customWidth="1"/>
    <col min="767" max="767" width="43.7109375" style="4" customWidth="1"/>
    <col min="768" max="768" width="8.42578125" style="4" customWidth="1"/>
    <col min="769" max="770" width="7.85546875" style="4" customWidth="1"/>
    <col min="771" max="771" width="8.42578125" style="4" customWidth="1"/>
    <col min="772" max="772" width="7.85546875" style="4" customWidth="1"/>
    <col min="773" max="773" width="11.140625" style="4" customWidth="1"/>
    <col min="774" max="1021" width="9.140625" style="4"/>
    <col min="1022" max="1022" width="5.28515625" style="4" customWidth="1"/>
    <col min="1023" max="1023" width="43.7109375" style="4" customWidth="1"/>
    <col min="1024" max="1024" width="8.42578125" style="4" customWidth="1"/>
    <col min="1025" max="1026" width="7.85546875" style="4" customWidth="1"/>
    <col min="1027" max="1027" width="8.42578125" style="4" customWidth="1"/>
    <col min="1028" max="1028" width="7.85546875" style="4" customWidth="1"/>
    <col min="1029" max="1029" width="11.140625" style="4" customWidth="1"/>
    <col min="1030" max="1277" width="9.140625" style="4"/>
    <col min="1278" max="1278" width="5.28515625" style="4" customWidth="1"/>
    <col min="1279" max="1279" width="43.7109375" style="4" customWidth="1"/>
    <col min="1280" max="1280" width="8.42578125" style="4" customWidth="1"/>
    <col min="1281" max="1282" width="7.85546875" style="4" customWidth="1"/>
    <col min="1283" max="1283" width="8.42578125" style="4" customWidth="1"/>
    <col min="1284" max="1284" width="7.85546875" style="4" customWidth="1"/>
    <col min="1285" max="1285" width="11.140625" style="4" customWidth="1"/>
    <col min="1286" max="1533" width="9.140625" style="4"/>
    <col min="1534" max="1534" width="5.28515625" style="4" customWidth="1"/>
    <col min="1535" max="1535" width="43.7109375" style="4" customWidth="1"/>
    <col min="1536" max="1536" width="8.42578125" style="4" customWidth="1"/>
    <col min="1537" max="1538" width="7.85546875" style="4" customWidth="1"/>
    <col min="1539" max="1539" width="8.42578125" style="4" customWidth="1"/>
    <col min="1540" max="1540" width="7.85546875" style="4" customWidth="1"/>
    <col min="1541" max="1541" width="11.140625" style="4" customWidth="1"/>
    <col min="1542" max="1789" width="9.140625" style="4"/>
    <col min="1790" max="1790" width="5.28515625" style="4" customWidth="1"/>
    <col min="1791" max="1791" width="43.7109375" style="4" customWidth="1"/>
    <col min="1792" max="1792" width="8.42578125" style="4" customWidth="1"/>
    <col min="1793" max="1794" width="7.85546875" style="4" customWidth="1"/>
    <col min="1795" max="1795" width="8.42578125" style="4" customWidth="1"/>
    <col min="1796" max="1796" width="7.85546875" style="4" customWidth="1"/>
    <col min="1797" max="1797" width="11.140625" style="4" customWidth="1"/>
    <col min="1798" max="2045" width="9.140625" style="4"/>
    <col min="2046" max="2046" width="5.28515625" style="4" customWidth="1"/>
    <col min="2047" max="2047" width="43.7109375" style="4" customWidth="1"/>
    <col min="2048" max="2048" width="8.42578125" style="4" customWidth="1"/>
    <col min="2049" max="2050" width="7.85546875" style="4" customWidth="1"/>
    <col min="2051" max="2051" width="8.42578125" style="4" customWidth="1"/>
    <col min="2052" max="2052" width="7.85546875" style="4" customWidth="1"/>
    <col min="2053" max="2053" width="11.140625" style="4" customWidth="1"/>
    <col min="2054" max="2301" width="9.140625" style="4"/>
    <col min="2302" max="2302" width="5.28515625" style="4" customWidth="1"/>
    <col min="2303" max="2303" width="43.7109375" style="4" customWidth="1"/>
    <col min="2304" max="2304" width="8.42578125" style="4" customWidth="1"/>
    <col min="2305" max="2306" width="7.85546875" style="4" customWidth="1"/>
    <col min="2307" max="2307" width="8.42578125" style="4" customWidth="1"/>
    <col min="2308" max="2308" width="7.85546875" style="4" customWidth="1"/>
    <col min="2309" max="2309" width="11.140625" style="4" customWidth="1"/>
    <col min="2310" max="2557" width="9.140625" style="4"/>
    <col min="2558" max="2558" width="5.28515625" style="4" customWidth="1"/>
    <col min="2559" max="2559" width="43.7109375" style="4" customWidth="1"/>
    <col min="2560" max="2560" width="8.42578125" style="4" customWidth="1"/>
    <col min="2561" max="2562" width="7.85546875" style="4" customWidth="1"/>
    <col min="2563" max="2563" width="8.42578125" style="4" customWidth="1"/>
    <col min="2564" max="2564" width="7.85546875" style="4" customWidth="1"/>
    <col min="2565" max="2565" width="11.140625" style="4" customWidth="1"/>
    <col min="2566" max="2813" width="9.140625" style="4"/>
    <col min="2814" max="2814" width="5.28515625" style="4" customWidth="1"/>
    <col min="2815" max="2815" width="43.7109375" style="4" customWidth="1"/>
    <col min="2816" max="2816" width="8.42578125" style="4" customWidth="1"/>
    <col min="2817" max="2818" width="7.85546875" style="4" customWidth="1"/>
    <col min="2819" max="2819" width="8.42578125" style="4" customWidth="1"/>
    <col min="2820" max="2820" width="7.85546875" style="4" customWidth="1"/>
    <col min="2821" max="2821" width="11.140625" style="4" customWidth="1"/>
    <col min="2822" max="3069" width="9.140625" style="4"/>
    <col min="3070" max="3070" width="5.28515625" style="4" customWidth="1"/>
    <col min="3071" max="3071" width="43.7109375" style="4" customWidth="1"/>
    <col min="3072" max="3072" width="8.42578125" style="4" customWidth="1"/>
    <col min="3073" max="3074" width="7.85546875" style="4" customWidth="1"/>
    <col min="3075" max="3075" width="8.42578125" style="4" customWidth="1"/>
    <col min="3076" max="3076" width="7.85546875" style="4" customWidth="1"/>
    <col min="3077" max="3077" width="11.140625" style="4" customWidth="1"/>
    <col min="3078" max="3325" width="9.140625" style="4"/>
    <col min="3326" max="3326" width="5.28515625" style="4" customWidth="1"/>
    <col min="3327" max="3327" width="43.7109375" style="4" customWidth="1"/>
    <col min="3328" max="3328" width="8.42578125" style="4" customWidth="1"/>
    <col min="3329" max="3330" width="7.85546875" style="4" customWidth="1"/>
    <col min="3331" max="3331" width="8.42578125" style="4" customWidth="1"/>
    <col min="3332" max="3332" width="7.85546875" style="4" customWidth="1"/>
    <col min="3333" max="3333" width="11.140625" style="4" customWidth="1"/>
    <col min="3334" max="3581" width="9.140625" style="4"/>
    <col min="3582" max="3582" width="5.28515625" style="4" customWidth="1"/>
    <col min="3583" max="3583" width="43.7109375" style="4" customWidth="1"/>
    <col min="3584" max="3584" width="8.42578125" style="4" customWidth="1"/>
    <col min="3585" max="3586" width="7.85546875" style="4" customWidth="1"/>
    <col min="3587" max="3587" width="8.42578125" style="4" customWidth="1"/>
    <col min="3588" max="3588" width="7.85546875" style="4" customWidth="1"/>
    <col min="3589" max="3589" width="11.140625" style="4" customWidth="1"/>
    <col min="3590" max="3837" width="9.140625" style="4"/>
    <col min="3838" max="3838" width="5.28515625" style="4" customWidth="1"/>
    <col min="3839" max="3839" width="43.7109375" style="4" customWidth="1"/>
    <col min="3840" max="3840" width="8.42578125" style="4" customWidth="1"/>
    <col min="3841" max="3842" width="7.85546875" style="4" customWidth="1"/>
    <col min="3843" max="3843" width="8.42578125" style="4" customWidth="1"/>
    <col min="3844" max="3844" width="7.85546875" style="4" customWidth="1"/>
    <col min="3845" max="3845" width="11.140625" style="4" customWidth="1"/>
    <col min="3846" max="4093" width="9.140625" style="4"/>
    <col min="4094" max="4094" width="5.28515625" style="4" customWidth="1"/>
    <col min="4095" max="4095" width="43.7109375" style="4" customWidth="1"/>
    <col min="4096" max="4096" width="8.42578125" style="4" customWidth="1"/>
    <col min="4097" max="4098" width="7.85546875" style="4" customWidth="1"/>
    <col min="4099" max="4099" width="8.42578125" style="4" customWidth="1"/>
    <col min="4100" max="4100" width="7.85546875" style="4" customWidth="1"/>
    <col min="4101" max="4101" width="11.140625" style="4" customWidth="1"/>
    <col min="4102" max="4349" width="9.140625" style="4"/>
    <col min="4350" max="4350" width="5.28515625" style="4" customWidth="1"/>
    <col min="4351" max="4351" width="43.7109375" style="4" customWidth="1"/>
    <col min="4352" max="4352" width="8.42578125" style="4" customWidth="1"/>
    <col min="4353" max="4354" width="7.85546875" style="4" customWidth="1"/>
    <col min="4355" max="4355" width="8.42578125" style="4" customWidth="1"/>
    <col min="4356" max="4356" width="7.85546875" style="4" customWidth="1"/>
    <col min="4357" max="4357" width="11.140625" style="4" customWidth="1"/>
    <col min="4358" max="4605" width="9.140625" style="4"/>
    <col min="4606" max="4606" width="5.28515625" style="4" customWidth="1"/>
    <col min="4607" max="4607" width="43.7109375" style="4" customWidth="1"/>
    <col min="4608" max="4608" width="8.42578125" style="4" customWidth="1"/>
    <col min="4609" max="4610" width="7.85546875" style="4" customWidth="1"/>
    <col min="4611" max="4611" width="8.42578125" style="4" customWidth="1"/>
    <col min="4612" max="4612" width="7.85546875" style="4" customWidth="1"/>
    <col min="4613" max="4613" width="11.140625" style="4" customWidth="1"/>
    <col min="4614" max="4861" width="9.140625" style="4"/>
    <col min="4862" max="4862" width="5.28515625" style="4" customWidth="1"/>
    <col min="4863" max="4863" width="43.7109375" style="4" customWidth="1"/>
    <col min="4864" max="4864" width="8.42578125" style="4" customWidth="1"/>
    <col min="4865" max="4866" width="7.85546875" style="4" customWidth="1"/>
    <col min="4867" max="4867" width="8.42578125" style="4" customWidth="1"/>
    <col min="4868" max="4868" width="7.85546875" style="4" customWidth="1"/>
    <col min="4869" max="4869" width="11.140625" style="4" customWidth="1"/>
    <col min="4870" max="5117" width="9.140625" style="4"/>
    <col min="5118" max="5118" width="5.28515625" style="4" customWidth="1"/>
    <col min="5119" max="5119" width="43.7109375" style="4" customWidth="1"/>
    <col min="5120" max="5120" width="8.42578125" style="4" customWidth="1"/>
    <col min="5121" max="5122" width="7.85546875" style="4" customWidth="1"/>
    <col min="5123" max="5123" width="8.42578125" style="4" customWidth="1"/>
    <col min="5124" max="5124" width="7.85546875" style="4" customWidth="1"/>
    <col min="5125" max="5125" width="11.140625" style="4" customWidth="1"/>
    <col min="5126" max="5373" width="9.140625" style="4"/>
    <col min="5374" max="5374" width="5.28515625" style="4" customWidth="1"/>
    <col min="5375" max="5375" width="43.7109375" style="4" customWidth="1"/>
    <col min="5376" max="5376" width="8.42578125" style="4" customWidth="1"/>
    <col min="5377" max="5378" width="7.85546875" style="4" customWidth="1"/>
    <col min="5379" max="5379" width="8.42578125" style="4" customWidth="1"/>
    <col min="5380" max="5380" width="7.85546875" style="4" customWidth="1"/>
    <col min="5381" max="5381" width="11.140625" style="4" customWidth="1"/>
    <col min="5382" max="5629" width="9.140625" style="4"/>
    <col min="5630" max="5630" width="5.28515625" style="4" customWidth="1"/>
    <col min="5631" max="5631" width="43.7109375" style="4" customWidth="1"/>
    <col min="5632" max="5632" width="8.42578125" style="4" customWidth="1"/>
    <col min="5633" max="5634" width="7.85546875" style="4" customWidth="1"/>
    <col min="5635" max="5635" width="8.42578125" style="4" customWidth="1"/>
    <col min="5636" max="5636" width="7.85546875" style="4" customWidth="1"/>
    <col min="5637" max="5637" width="11.140625" style="4" customWidth="1"/>
    <col min="5638" max="5885" width="9.140625" style="4"/>
    <col min="5886" max="5886" width="5.28515625" style="4" customWidth="1"/>
    <col min="5887" max="5887" width="43.7109375" style="4" customWidth="1"/>
    <col min="5888" max="5888" width="8.42578125" style="4" customWidth="1"/>
    <col min="5889" max="5890" width="7.85546875" style="4" customWidth="1"/>
    <col min="5891" max="5891" width="8.42578125" style="4" customWidth="1"/>
    <col min="5892" max="5892" width="7.85546875" style="4" customWidth="1"/>
    <col min="5893" max="5893" width="11.140625" style="4" customWidth="1"/>
    <col min="5894" max="6141" width="9.140625" style="4"/>
    <col min="6142" max="6142" width="5.28515625" style="4" customWidth="1"/>
    <col min="6143" max="6143" width="43.7109375" style="4" customWidth="1"/>
    <col min="6144" max="6144" width="8.42578125" style="4" customWidth="1"/>
    <col min="6145" max="6146" width="7.85546875" style="4" customWidth="1"/>
    <col min="6147" max="6147" width="8.42578125" style="4" customWidth="1"/>
    <col min="6148" max="6148" width="7.85546875" style="4" customWidth="1"/>
    <col min="6149" max="6149" width="11.140625" style="4" customWidth="1"/>
    <col min="6150" max="6397" width="9.140625" style="4"/>
    <col min="6398" max="6398" width="5.28515625" style="4" customWidth="1"/>
    <col min="6399" max="6399" width="43.7109375" style="4" customWidth="1"/>
    <col min="6400" max="6400" width="8.42578125" style="4" customWidth="1"/>
    <col min="6401" max="6402" width="7.85546875" style="4" customWidth="1"/>
    <col min="6403" max="6403" width="8.42578125" style="4" customWidth="1"/>
    <col min="6404" max="6404" width="7.85546875" style="4" customWidth="1"/>
    <col min="6405" max="6405" width="11.140625" style="4" customWidth="1"/>
    <col min="6406" max="6653" width="9.140625" style="4"/>
    <col min="6654" max="6654" width="5.28515625" style="4" customWidth="1"/>
    <col min="6655" max="6655" width="43.7109375" style="4" customWidth="1"/>
    <col min="6656" max="6656" width="8.42578125" style="4" customWidth="1"/>
    <col min="6657" max="6658" width="7.85546875" style="4" customWidth="1"/>
    <col min="6659" max="6659" width="8.42578125" style="4" customWidth="1"/>
    <col min="6660" max="6660" width="7.85546875" style="4" customWidth="1"/>
    <col min="6661" max="6661" width="11.140625" style="4" customWidth="1"/>
    <col min="6662" max="6909" width="9.140625" style="4"/>
    <col min="6910" max="6910" width="5.28515625" style="4" customWidth="1"/>
    <col min="6911" max="6911" width="43.7109375" style="4" customWidth="1"/>
    <col min="6912" max="6912" width="8.42578125" style="4" customWidth="1"/>
    <col min="6913" max="6914" width="7.85546875" style="4" customWidth="1"/>
    <col min="6915" max="6915" width="8.42578125" style="4" customWidth="1"/>
    <col min="6916" max="6916" width="7.85546875" style="4" customWidth="1"/>
    <col min="6917" max="6917" width="11.140625" style="4" customWidth="1"/>
    <col min="6918" max="7165" width="9.140625" style="4"/>
    <col min="7166" max="7166" width="5.28515625" style="4" customWidth="1"/>
    <col min="7167" max="7167" width="43.7109375" style="4" customWidth="1"/>
    <col min="7168" max="7168" width="8.42578125" style="4" customWidth="1"/>
    <col min="7169" max="7170" width="7.85546875" style="4" customWidth="1"/>
    <col min="7171" max="7171" width="8.42578125" style="4" customWidth="1"/>
    <col min="7172" max="7172" width="7.85546875" style="4" customWidth="1"/>
    <col min="7173" max="7173" width="11.140625" style="4" customWidth="1"/>
    <col min="7174" max="7421" width="9.140625" style="4"/>
    <col min="7422" max="7422" width="5.28515625" style="4" customWidth="1"/>
    <col min="7423" max="7423" width="43.7109375" style="4" customWidth="1"/>
    <col min="7424" max="7424" width="8.42578125" style="4" customWidth="1"/>
    <col min="7425" max="7426" width="7.85546875" style="4" customWidth="1"/>
    <col min="7427" max="7427" width="8.42578125" style="4" customWidth="1"/>
    <col min="7428" max="7428" width="7.85546875" style="4" customWidth="1"/>
    <col min="7429" max="7429" width="11.140625" style="4" customWidth="1"/>
    <col min="7430" max="7677" width="9.140625" style="4"/>
    <col min="7678" max="7678" width="5.28515625" style="4" customWidth="1"/>
    <col min="7679" max="7679" width="43.7109375" style="4" customWidth="1"/>
    <col min="7680" max="7680" width="8.42578125" style="4" customWidth="1"/>
    <col min="7681" max="7682" width="7.85546875" style="4" customWidth="1"/>
    <col min="7683" max="7683" width="8.42578125" style="4" customWidth="1"/>
    <col min="7684" max="7684" width="7.85546875" style="4" customWidth="1"/>
    <col min="7685" max="7685" width="11.140625" style="4" customWidth="1"/>
    <col min="7686" max="7933" width="9.140625" style="4"/>
    <col min="7934" max="7934" width="5.28515625" style="4" customWidth="1"/>
    <col min="7935" max="7935" width="43.7109375" style="4" customWidth="1"/>
    <col min="7936" max="7936" width="8.42578125" style="4" customWidth="1"/>
    <col min="7937" max="7938" width="7.85546875" style="4" customWidth="1"/>
    <col min="7939" max="7939" width="8.42578125" style="4" customWidth="1"/>
    <col min="7940" max="7940" width="7.85546875" style="4" customWidth="1"/>
    <col min="7941" max="7941" width="11.140625" style="4" customWidth="1"/>
    <col min="7942" max="8189" width="9.140625" style="4"/>
    <col min="8190" max="8190" width="5.28515625" style="4" customWidth="1"/>
    <col min="8191" max="8191" width="43.7109375" style="4" customWidth="1"/>
    <col min="8192" max="8192" width="8.42578125" style="4" customWidth="1"/>
    <col min="8193" max="8194" width="7.85546875" style="4" customWidth="1"/>
    <col min="8195" max="8195" width="8.42578125" style="4" customWidth="1"/>
    <col min="8196" max="8196" width="7.85546875" style="4" customWidth="1"/>
    <col min="8197" max="8197" width="11.140625" style="4" customWidth="1"/>
    <col min="8198" max="8445" width="9.140625" style="4"/>
    <col min="8446" max="8446" width="5.28515625" style="4" customWidth="1"/>
    <col min="8447" max="8447" width="43.7109375" style="4" customWidth="1"/>
    <col min="8448" max="8448" width="8.42578125" style="4" customWidth="1"/>
    <col min="8449" max="8450" width="7.85546875" style="4" customWidth="1"/>
    <col min="8451" max="8451" width="8.42578125" style="4" customWidth="1"/>
    <col min="8452" max="8452" width="7.85546875" style="4" customWidth="1"/>
    <col min="8453" max="8453" width="11.140625" style="4" customWidth="1"/>
    <col min="8454" max="8701" width="9.140625" style="4"/>
    <col min="8702" max="8702" width="5.28515625" style="4" customWidth="1"/>
    <col min="8703" max="8703" width="43.7109375" style="4" customWidth="1"/>
    <col min="8704" max="8704" width="8.42578125" style="4" customWidth="1"/>
    <col min="8705" max="8706" width="7.85546875" style="4" customWidth="1"/>
    <col min="8707" max="8707" width="8.42578125" style="4" customWidth="1"/>
    <col min="8708" max="8708" width="7.85546875" style="4" customWidth="1"/>
    <col min="8709" max="8709" width="11.140625" style="4" customWidth="1"/>
    <col min="8710" max="8957" width="9.140625" style="4"/>
    <col min="8958" max="8958" width="5.28515625" style="4" customWidth="1"/>
    <col min="8959" max="8959" width="43.7109375" style="4" customWidth="1"/>
    <col min="8960" max="8960" width="8.42578125" style="4" customWidth="1"/>
    <col min="8961" max="8962" width="7.85546875" style="4" customWidth="1"/>
    <col min="8963" max="8963" width="8.42578125" style="4" customWidth="1"/>
    <col min="8964" max="8964" width="7.85546875" style="4" customWidth="1"/>
    <col min="8965" max="8965" width="11.140625" style="4" customWidth="1"/>
    <col min="8966" max="9213" width="9.140625" style="4"/>
    <col min="9214" max="9214" width="5.28515625" style="4" customWidth="1"/>
    <col min="9215" max="9215" width="43.7109375" style="4" customWidth="1"/>
    <col min="9216" max="9216" width="8.42578125" style="4" customWidth="1"/>
    <col min="9217" max="9218" width="7.85546875" style="4" customWidth="1"/>
    <col min="9219" max="9219" width="8.42578125" style="4" customWidth="1"/>
    <col min="9220" max="9220" width="7.85546875" style="4" customWidth="1"/>
    <col min="9221" max="9221" width="11.140625" style="4" customWidth="1"/>
    <col min="9222" max="9469" width="9.140625" style="4"/>
    <col min="9470" max="9470" width="5.28515625" style="4" customWidth="1"/>
    <col min="9471" max="9471" width="43.7109375" style="4" customWidth="1"/>
    <col min="9472" max="9472" width="8.42578125" style="4" customWidth="1"/>
    <col min="9473" max="9474" width="7.85546875" style="4" customWidth="1"/>
    <col min="9475" max="9475" width="8.42578125" style="4" customWidth="1"/>
    <col min="9476" max="9476" width="7.85546875" style="4" customWidth="1"/>
    <col min="9477" max="9477" width="11.140625" style="4" customWidth="1"/>
    <col min="9478" max="9725" width="9.140625" style="4"/>
    <col min="9726" max="9726" width="5.28515625" style="4" customWidth="1"/>
    <col min="9727" max="9727" width="43.7109375" style="4" customWidth="1"/>
    <col min="9728" max="9728" width="8.42578125" style="4" customWidth="1"/>
    <col min="9729" max="9730" width="7.85546875" style="4" customWidth="1"/>
    <col min="9731" max="9731" width="8.42578125" style="4" customWidth="1"/>
    <col min="9732" max="9732" width="7.85546875" style="4" customWidth="1"/>
    <col min="9733" max="9733" width="11.140625" style="4" customWidth="1"/>
    <col min="9734" max="9981" width="9.140625" style="4"/>
    <col min="9982" max="9982" width="5.28515625" style="4" customWidth="1"/>
    <col min="9983" max="9983" width="43.7109375" style="4" customWidth="1"/>
    <col min="9984" max="9984" width="8.42578125" style="4" customWidth="1"/>
    <col min="9985" max="9986" width="7.85546875" style="4" customWidth="1"/>
    <col min="9987" max="9987" width="8.42578125" style="4" customWidth="1"/>
    <col min="9988" max="9988" width="7.85546875" style="4" customWidth="1"/>
    <col min="9989" max="9989" width="11.140625" style="4" customWidth="1"/>
    <col min="9990" max="10237" width="9.140625" style="4"/>
    <col min="10238" max="10238" width="5.28515625" style="4" customWidth="1"/>
    <col min="10239" max="10239" width="43.7109375" style="4" customWidth="1"/>
    <col min="10240" max="10240" width="8.42578125" style="4" customWidth="1"/>
    <col min="10241" max="10242" width="7.85546875" style="4" customWidth="1"/>
    <col min="10243" max="10243" width="8.42578125" style="4" customWidth="1"/>
    <col min="10244" max="10244" width="7.85546875" style="4" customWidth="1"/>
    <col min="10245" max="10245" width="11.140625" style="4" customWidth="1"/>
    <col min="10246" max="10493" width="9.140625" style="4"/>
    <col min="10494" max="10494" width="5.28515625" style="4" customWidth="1"/>
    <col min="10495" max="10495" width="43.7109375" style="4" customWidth="1"/>
    <col min="10496" max="10496" width="8.42578125" style="4" customWidth="1"/>
    <col min="10497" max="10498" width="7.85546875" style="4" customWidth="1"/>
    <col min="10499" max="10499" width="8.42578125" style="4" customWidth="1"/>
    <col min="10500" max="10500" width="7.85546875" style="4" customWidth="1"/>
    <col min="10501" max="10501" width="11.140625" style="4" customWidth="1"/>
    <col min="10502" max="10749" width="9.140625" style="4"/>
    <col min="10750" max="10750" width="5.28515625" style="4" customWidth="1"/>
    <col min="10751" max="10751" width="43.7109375" style="4" customWidth="1"/>
    <col min="10752" max="10752" width="8.42578125" style="4" customWidth="1"/>
    <col min="10753" max="10754" width="7.85546875" style="4" customWidth="1"/>
    <col min="10755" max="10755" width="8.42578125" style="4" customWidth="1"/>
    <col min="10756" max="10756" width="7.85546875" style="4" customWidth="1"/>
    <col min="10757" max="10757" width="11.140625" style="4" customWidth="1"/>
    <col min="10758" max="11005" width="9.140625" style="4"/>
    <col min="11006" max="11006" width="5.28515625" style="4" customWidth="1"/>
    <col min="11007" max="11007" width="43.7109375" style="4" customWidth="1"/>
    <col min="11008" max="11008" width="8.42578125" style="4" customWidth="1"/>
    <col min="11009" max="11010" width="7.85546875" style="4" customWidth="1"/>
    <col min="11011" max="11011" width="8.42578125" style="4" customWidth="1"/>
    <col min="11012" max="11012" width="7.85546875" style="4" customWidth="1"/>
    <col min="11013" max="11013" width="11.140625" style="4" customWidth="1"/>
    <col min="11014" max="11261" width="9.140625" style="4"/>
    <col min="11262" max="11262" width="5.28515625" style="4" customWidth="1"/>
    <col min="11263" max="11263" width="43.7109375" style="4" customWidth="1"/>
    <col min="11264" max="11264" width="8.42578125" style="4" customWidth="1"/>
    <col min="11265" max="11266" width="7.85546875" style="4" customWidth="1"/>
    <col min="11267" max="11267" width="8.42578125" style="4" customWidth="1"/>
    <col min="11268" max="11268" width="7.85546875" style="4" customWidth="1"/>
    <col min="11269" max="11269" width="11.140625" style="4" customWidth="1"/>
    <col min="11270" max="11517" width="9.140625" style="4"/>
    <col min="11518" max="11518" width="5.28515625" style="4" customWidth="1"/>
    <col min="11519" max="11519" width="43.7109375" style="4" customWidth="1"/>
    <col min="11520" max="11520" width="8.42578125" style="4" customWidth="1"/>
    <col min="11521" max="11522" width="7.85546875" style="4" customWidth="1"/>
    <col min="11523" max="11523" width="8.42578125" style="4" customWidth="1"/>
    <col min="11524" max="11524" width="7.85546875" style="4" customWidth="1"/>
    <col min="11525" max="11525" width="11.140625" style="4" customWidth="1"/>
    <col min="11526" max="11773" width="9.140625" style="4"/>
    <col min="11774" max="11774" width="5.28515625" style="4" customWidth="1"/>
    <col min="11775" max="11775" width="43.7109375" style="4" customWidth="1"/>
    <col min="11776" max="11776" width="8.42578125" style="4" customWidth="1"/>
    <col min="11777" max="11778" width="7.85546875" style="4" customWidth="1"/>
    <col min="11779" max="11779" width="8.42578125" style="4" customWidth="1"/>
    <col min="11780" max="11780" width="7.85546875" style="4" customWidth="1"/>
    <col min="11781" max="11781" width="11.140625" style="4" customWidth="1"/>
    <col min="11782" max="12029" width="9.140625" style="4"/>
    <col min="12030" max="12030" width="5.28515625" style="4" customWidth="1"/>
    <col min="12031" max="12031" width="43.7109375" style="4" customWidth="1"/>
    <col min="12032" max="12032" width="8.42578125" style="4" customWidth="1"/>
    <col min="12033" max="12034" width="7.85546875" style="4" customWidth="1"/>
    <col min="12035" max="12035" width="8.42578125" style="4" customWidth="1"/>
    <col min="12036" max="12036" width="7.85546875" style="4" customWidth="1"/>
    <col min="12037" max="12037" width="11.140625" style="4" customWidth="1"/>
    <col min="12038" max="12285" width="9.140625" style="4"/>
    <col min="12286" max="12286" width="5.28515625" style="4" customWidth="1"/>
    <col min="12287" max="12287" width="43.7109375" style="4" customWidth="1"/>
    <col min="12288" max="12288" width="8.42578125" style="4" customWidth="1"/>
    <col min="12289" max="12290" width="7.85546875" style="4" customWidth="1"/>
    <col min="12291" max="12291" width="8.42578125" style="4" customWidth="1"/>
    <col min="12292" max="12292" width="7.85546875" style="4" customWidth="1"/>
    <col min="12293" max="12293" width="11.140625" style="4" customWidth="1"/>
    <col min="12294" max="12541" width="9.140625" style="4"/>
    <col min="12542" max="12542" width="5.28515625" style="4" customWidth="1"/>
    <col min="12543" max="12543" width="43.7109375" style="4" customWidth="1"/>
    <col min="12544" max="12544" width="8.42578125" style="4" customWidth="1"/>
    <col min="12545" max="12546" width="7.85546875" style="4" customWidth="1"/>
    <col min="12547" max="12547" width="8.42578125" style="4" customWidth="1"/>
    <col min="12548" max="12548" width="7.85546875" style="4" customWidth="1"/>
    <col min="12549" max="12549" width="11.140625" style="4" customWidth="1"/>
    <col min="12550" max="12797" width="9.140625" style="4"/>
    <col min="12798" max="12798" width="5.28515625" style="4" customWidth="1"/>
    <col min="12799" max="12799" width="43.7109375" style="4" customWidth="1"/>
    <col min="12800" max="12800" width="8.42578125" style="4" customWidth="1"/>
    <col min="12801" max="12802" width="7.85546875" style="4" customWidth="1"/>
    <col min="12803" max="12803" width="8.42578125" style="4" customWidth="1"/>
    <col min="12804" max="12804" width="7.85546875" style="4" customWidth="1"/>
    <col min="12805" max="12805" width="11.140625" style="4" customWidth="1"/>
    <col min="12806" max="13053" width="9.140625" style="4"/>
    <col min="13054" max="13054" width="5.28515625" style="4" customWidth="1"/>
    <col min="13055" max="13055" width="43.7109375" style="4" customWidth="1"/>
    <col min="13056" max="13056" width="8.42578125" style="4" customWidth="1"/>
    <col min="13057" max="13058" width="7.85546875" style="4" customWidth="1"/>
    <col min="13059" max="13059" width="8.42578125" style="4" customWidth="1"/>
    <col min="13060" max="13060" width="7.85546875" style="4" customWidth="1"/>
    <col min="13061" max="13061" width="11.140625" style="4" customWidth="1"/>
    <col min="13062" max="13309" width="9.140625" style="4"/>
    <col min="13310" max="13310" width="5.28515625" style="4" customWidth="1"/>
    <col min="13311" max="13311" width="43.7109375" style="4" customWidth="1"/>
    <col min="13312" max="13312" width="8.42578125" style="4" customWidth="1"/>
    <col min="13313" max="13314" width="7.85546875" style="4" customWidth="1"/>
    <col min="13315" max="13315" width="8.42578125" style="4" customWidth="1"/>
    <col min="13316" max="13316" width="7.85546875" style="4" customWidth="1"/>
    <col min="13317" max="13317" width="11.140625" style="4" customWidth="1"/>
    <col min="13318" max="13565" width="9.140625" style="4"/>
    <col min="13566" max="13566" width="5.28515625" style="4" customWidth="1"/>
    <col min="13567" max="13567" width="43.7109375" style="4" customWidth="1"/>
    <col min="13568" max="13568" width="8.42578125" style="4" customWidth="1"/>
    <col min="13569" max="13570" width="7.85546875" style="4" customWidth="1"/>
    <col min="13571" max="13571" width="8.42578125" style="4" customWidth="1"/>
    <col min="13572" max="13572" width="7.85546875" style="4" customWidth="1"/>
    <col min="13573" max="13573" width="11.140625" style="4" customWidth="1"/>
    <col min="13574" max="13821" width="9.140625" style="4"/>
    <col min="13822" max="13822" width="5.28515625" style="4" customWidth="1"/>
    <col min="13823" max="13823" width="43.7109375" style="4" customWidth="1"/>
    <col min="13824" max="13824" width="8.42578125" style="4" customWidth="1"/>
    <col min="13825" max="13826" width="7.85546875" style="4" customWidth="1"/>
    <col min="13827" max="13827" width="8.42578125" style="4" customWidth="1"/>
    <col min="13828" max="13828" width="7.85546875" style="4" customWidth="1"/>
    <col min="13829" max="13829" width="11.140625" style="4" customWidth="1"/>
    <col min="13830" max="14077" width="9.140625" style="4"/>
    <col min="14078" max="14078" width="5.28515625" style="4" customWidth="1"/>
    <col min="14079" max="14079" width="43.7109375" style="4" customWidth="1"/>
    <col min="14080" max="14080" width="8.42578125" style="4" customWidth="1"/>
    <col min="14081" max="14082" width="7.85546875" style="4" customWidth="1"/>
    <col min="14083" max="14083" width="8.42578125" style="4" customWidth="1"/>
    <col min="14084" max="14084" width="7.85546875" style="4" customWidth="1"/>
    <col min="14085" max="14085" width="11.140625" style="4" customWidth="1"/>
    <col min="14086" max="14333" width="9.140625" style="4"/>
    <col min="14334" max="14334" width="5.28515625" style="4" customWidth="1"/>
    <col min="14335" max="14335" width="43.7109375" style="4" customWidth="1"/>
    <col min="14336" max="14336" width="8.42578125" style="4" customWidth="1"/>
    <col min="14337" max="14338" width="7.85546875" style="4" customWidth="1"/>
    <col min="14339" max="14339" width="8.42578125" style="4" customWidth="1"/>
    <col min="14340" max="14340" width="7.85546875" style="4" customWidth="1"/>
    <col min="14341" max="14341" width="11.140625" style="4" customWidth="1"/>
    <col min="14342" max="14589" width="9.140625" style="4"/>
    <col min="14590" max="14590" width="5.28515625" style="4" customWidth="1"/>
    <col min="14591" max="14591" width="43.7109375" style="4" customWidth="1"/>
    <col min="14592" max="14592" width="8.42578125" style="4" customWidth="1"/>
    <col min="14593" max="14594" width="7.85546875" style="4" customWidth="1"/>
    <col min="14595" max="14595" width="8.42578125" style="4" customWidth="1"/>
    <col min="14596" max="14596" width="7.85546875" style="4" customWidth="1"/>
    <col min="14597" max="14597" width="11.140625" style="4" customWidth="1"/>
    <col min="14598" max="14845" width="9.140625" style="4"/>
    <col min="14846" max="14846" width="5.28515625" style="4" customWidth="1"/>
    <col min="14847" max="14847" width="43.7109375" style="4" customWidth="1"/>
    <col min="14848" max="14848" width="8.42578125" style="4" customWidth="1"/>
    <col min="14849" max="14850" width="7.85546875" style="4" customWidth="1"/>
    <col min="14851" max="14851" width="8.42578125" style="4" customWidth="1"/>
    <col min="14852" max="14852" width="7.85546875" style="4" customWidth="1"/>
    <col min="14853" max="14853" width="11.140625" style="4" customWidth="1"/>
    <col min="14854" max="15101" width="9.140625" style="4"/>
    <col min="15102" max="15102" width="5.28515625" style="4" customWidth="1"/>
    <col min="15103" max="15103" width="43.7109375" style="4" customWidth="1"/>
    <col min="15104" max="15104" width="8.42578125" style="4" customWidth="1"/>
    <col min="15105" max="15106" width="7.85546875" style="4" customWidth="1"/>
    <col min="15107" max="15107" width="8.42578125" style="4" customWidth="1"/>
    <col min="15108" max="15108" width="7.85546875" style="4" customWidth="1"/>
    <col min="15109" max="15109" width="11.140625" style="4" customWidth="1"/>
    <col min="15110" max="15357" width="9.140625" style="4"/>
    <col min="15358" max="15358" width="5.28515625" style="4" customWidth="1"/>
    <col min="15359" max="15359" width="43.7109375" style="4" customWidth="1"/>
    <col min="15360" max="15360" width="8.42578125" style="4" customWidth="1"/>
    <col min="15361" max="15362" width="7.85546875" style="4" customWidth="1"/>
    <col min="15363" max="15363" width="8.42578125" style="4" customWidth="1"/>
    <col min="15364" max="15364" width="7.85546875" style="4" customWidth="1"/>
    <col min="15365" max="15365" width="11.140625" style="4" customWidth="1"/>
    <col min="15366" max="15613" width="9.140625" style="4"/>
    <col min="15614" max="15614" width="5.28515625" style="4" customWidth="1"/>
    <col min="15615" max="15615" width="43.7109375" style="4" customWidth="1"/>
    <col min="15616" max="15616" width="8.42578125" style="4" customWidth="1"/>
    <col min="15617" max="15618" width="7.85546875" style="4" customWidth="1"/>
    <col min="15619" max="15619" width="8.42578125" style="4" customWidth="1"/>
    <col min="15620" max="15620" width="7.85546875" style="4" customWidth="1"/>
    <col min="15621" max="15621" width="11.140625" style="4" customWidth="1"/>
    <col min="15622" max="15869" width="9.140625" style="4"/>
    <col min="15870" max="15870" width="5.28515625" style="4" customWidth="1"/>
    <col min="15871" max="15871" width="43.7109375" style="4" customWidth="1"/>
    <col min="15872" max="15872" width="8.42578125" style="4" customWidth="1"/>
    <col min="15873" max="15874" width="7.85546875" style="4" customWidth="1"/>
    <col min="15875" max="15875" width="8.42578125" style="4" customWidth="1"/>
    <col min="15876" max="15876" width="7.85546875" style="4" customWidth="1"/>
    <col min="15877" max="15877" width="11.140625" style="4" customWidth="1"/>
    <col min="15878" max="16125" width="9.140625" style="4"/>
    <col min="16126" max="16126" width="5.28515625" style="4" customWidth="1"/>
    <col min="16127" max="16127" width="43.7109375" style="4" customWidth="1"/>
    <col min="16128" max="16128" width="8.42578125" style="4" customWidth="1"/>
    <col min="16129" max="16130" width="7.85546875" style="4" customWidth="1"/>
    <col min="16131" max="16131" width="8.42578125" style="4" customWidth="1"/>
    <col min="16132" max="16132" width="7.85546875" style="4" customWidth="1"/>
    <col min="16133" max="16133" width="11.140625" style="4" customWidth="1"/>
    <col min="16134" max="16384" width="9.140625" style="4"/>
  </cols>
  <sheetData>
    <row r="1" spans="1:5" ht="22.5" customHeight="1" x14ac:dyDescent="0.25">
      <c r="A1" s="237" t="s">
        <v>1098</v>
      </c>
      <c r="B1" s="237"/>
      <c r="C1" s="237"/>
      <c r="D1" s="237"/>
      <c r="E1" s="199"/>
    </row>
    <row r="2" spans="1:5" ht="24" customHeight="1" x14ac:dyDescent="0.25">
      <c r="A2" s="200"/>
      <c r="B2" s="240" t="s">
        <v>655</v>
      </c>
      <c r="C2" s="240"/>
      <c r="D2" s="240"/>
      <c r="E2" s="240"/>
    </row>
    <row r="3" spans="1:5" ht="19.5" hidden="1" customHeight="1" x14ac:dyDescent="0.25">
      <c r="A3" s="46"/>
      <c r="B3" s="6"/>
      <c r="C3" s="7"/>
      <c r="D3" s="7">
        <v>0.7</v>
      </c>
      <c r="E3" s="7"/>
    </row>
    <row r="4" spans="1:5" x14ac:dyDescent="0.25">
      <c r="A4" s="238" t="s">
        <v>0</v>
      </c>
      <c r="B4" s="238" t="s">
        <v>1</v>
      </c>
      <c r="C4" s="239" t="s">
        <v>946</v>
      </c>
      <c r="D4" s="239"/>
      <c r="E4" s="239"/>
    </row>
    <row r="5" spans="1:5" x14ac:dyDescent="0.25">
      <c r="A5" s="238"/>
      <c r="B5" s="238"/>
      <c r="C5" s="8" t="s">
        <v>3</v>
      </c>
      <c r="D5" s="8" t="s">
        <v>4</v>
      </c>
      <c r="E5" s="8" t="s">
        <v>5</v>
      </c>
    </row>
    <row r="6" spans="1:5" x14ac:dyDescent="0.25">
      <c r="A6" s="8" t="s">
        <v>7</v>
      </c>
      <c r="B6" s="9" t="s">
        <v>26</v>
      </c>
      <c r="C6" s="10"/>
      <c r="D6" s="11"/>
      <c r="E6" s="12"/>
    </row>
    <row r="7" spans="1:5" ht="47.25" x14ac:dyDescent="0.25">
      <c r="A7" s="84">
        <v>1</v>
      </c>
      <c r="B7" s="13" t="s">
        <v>27</v>
      </c>
      <c r="C7" s="45">
        <f>3740*0.7</f>
        <v>2618</v>
      </c>
      <c r="D7" s="45">
        <f>1540*0.7</f>
        <v>1078</v>
      </c>
      <c r="E7" s="45"/>
    </row>
    <row r="8" spans="1:5" ht="78.75" x14ac:dyDescent="0.25">
      <c r="A8" s="84">
        <v>2</v>
      </c>
      <c r="B8" s="11" t="s">
        <v>28</v>
      </c>
      <c r="C8" s="45">
        <f>4400*0.7</f>
        <v>3080</v>
      </c>
      <c r="D8" s="45">
        <f>1706*0.7</f>
        <v>1194.1999999999998</v>
      </c>
      <c r="E8" s="45"/>
    </row>
    <row r="9" spans="1:5" ht="47.25" x14ac:dyDescent="0.25">
      <c r="A9" s="84">
        <v>3</v>
      </c>
      <c r="B9" s="14" t="s">
        <v>29</v>
      </c>
      <c r="C9" s="45">
        <f>1705*0.7</f>
        <v>1193.5</v>
      </c>
      <c r="D9" s="45">
        <f>660*0.7</f>
        <v>461.99999999999994</v>
      </c>
      <c r="E9" s="45"/>
    </row>
    <row r="10" spans="1:5" ht="78.75" x14ac:dyDescent="0.25">
      <c r="A10" s="84">
        <v>4</v>
      </c>
      <c r="B10" s="11" t="s">
        <v>30</v>
      </c>
      <c r="C10" s="45">
        <f>1595*0.7</f>
        <v>1116.5</v>
      </c>
      <c r="D10" s="45">
        <f>605*0.7</f>
        <v>423.5</v>
      </c>
      <c r="E10" s="45">
        <f>275*0.7</f>
        <v>192.5</v>
      </c>
    </row>
    <row r="11" spans="1:5" ht="63" x14ac:dyDescent="0.25">
      <c r="A11" s="84">
        <v>5</v>
      </c>
      <c r="B11" s="14" t="s">
        <v>31</v>
      </c>
      <c r="C11" s="45">
        <f>1760*0.7</f>
        <v>1232</v>
      </c>
      <c r="D11" s="45">
        <f>770*0.7</f>
        <v>539</v>
      </c>
      <c r="E11" s="45"/>
    </row>
    <row r="12" spans="1:5" ht="78.75" x14ac:dyDescent="0.25">
      <c r="A12" s="84">
        <v>6</v>
      </c>
      <c r="B12" s="90" t="s">
        <v>32</v>
      </c>
      <c r="C12" s="45">
        <f>1980*0.7</f>
        <v>1386</v>
      </c>
      <c r="D12" s="45">
        <f>880*0.7</f>
        <v>616</v>
      </c>
      <c r="E12" s="15"/>
    </row>
    <row r="13" spans="1:5" hidden="1" x14ac:dyDescent="0.25">
      <c r="A13" s="236">
        <v>7</v>
      </c>
      <c r="B13" s="9" t="s">
        <v>33</v>
      </c>
      <c r="C13" s="15"/>
      <c r="D13" s="15"/>
      <c r="E13" s="15"/>
    </row>
    <row r="14" spans="1:5" hidden="1" x14ac:dyDescent="0.25">
      <c r="A14" s="236"/>
      <c r="B14" s="13" t="s">
        <v>34</v>
      </c>
      <c r="C14" s="45">
        <f>2640*0.7</f>
        <v>1847.9999999999998</v>
      </c>
      <c r="D14" s="15"/>
      <c r="E14" s="15"/>
    </row>
    <row r="15" spans="1:5" ht="31.5" hidden="1" x14ac:dyDescent="0.25">
      <c r="A15" s="84">
        <v>8</v>
      </c>
      <c r="B15" s="13" t="s">
        <v>35</v>
      </c>
      <c r="C15" s="45">
        <f>1760*0.7</f>
        <v>1232</v>
      </c>
      <c r="D15" s="16"/>
      <c r="E15" s="45"/>
    </row>
    <row r="16" spans="1:5" hidden="1" x14ac:dyDescent="0.25">
      <c r="A16" s="84">
        <v>9</v>
      </c>
      <c r="B16" s="13" t="s">
        <v>36</v>
      </c>
      <c r="C16" s="45">
        <f>3960*0.7</f>
        <v>2772</v>
      </c>
      <c r="D16" s="45"/>
      <c r="E16" s="45"/>
    </row>
    <row r="17" spans="1:5" hidden="1" x14ac:dyDescent="0.25">
      <c r="A17" s="84">
        <v>10</v>
      </c>
      <c r="B17" s="13" t="s">
        <v>37</v>
      </c>
      <c r="C17" s="45">
        <f>2420*0.7</f>
        <v>1694</v>
      </c>
      <c r="D17" s="16"/>
      <c r="E17" s="45"/>
    </row>
    <row r="18" spans="1:5" hidden="1" x14ac:dyDescent="0.25">
      <c r="A18" s="84">
        <v>11</v>
      </c>
      <c r="B18" s="13" t="s">
        <v>38</v>
      </c>
      <c r="C18" s="45">
        <f>880*0.7</f>
        <v>616</v>
      </c>
      <c r="D18" s="16"/>
      <c r="E18" s="45"/>
    </row>
    <row r="19" spans="1:5" x14ac:dyDescent="0.25">
      <c r="A19" s="8" t="s">
        <v>14</v>
      </c>
      <c r="B19" s="9" t="s">
        <v>39</v>
      </c>
      <c r="C19" s="45"/>
      <c r="D19" s="16"/>
      <c r="E19" s="45"/>
    </row>
    <row r="20" spans="1:5" ht="47.25" x14ac:dyDescent="0.25">
      <c r="A20" s="84">
        <v>1</v>
      </c>
      <c r="B20" s="13" t="s">
        <v>40</v>
      </c>
      <c r="C20" s="45">
        <f>3795*0.7</f>
        <v>2656.5</v>
      </c>
      <c r="D20" s="45">
        <f>1650*0.7</f>
        <v>1155</v>
      </c>
      <c r="E20" s="45"/>
    </row>
    <row r="21" spans="1:5" ht="31.5" x14ac:dyDescent="0.25">
      <c r="A21" s="84">
        <v>2</v>
      </c>
      <c r="B21" s="13" t="s">
        <v>41</v>
      </c>
      <c r="C21" s="45">
        <f>3795*0.7</f>
        <v>2656.5</v>
      </c>
      <c r="D21" s="45">
        <f>1650*0.7</f>
        <v>1155</v>
      </c>
      <c r="E21" s="45"/>
    </row>
    <row r="22" spans="1:5" x14ac:dyDescent="0.25">
      <c r="A22" s="8" t="s">
        <v>17</v>
      </c>
      <c r="B22" s="9" t="s">
        <v>42</v>
      </c>
      <c r="C22" s="45"/>
      <c r="D22" s="45"/>
      <c r="E22" s="45"/>
    </row>
    <row r="23" spans="1:5" ht="66.75" customHeight="1" x14ac:dyDescent="0.25">
      <c r="A23" s="17">
        <v>1</v>
      </c>
      <c r="B23" s="14" t="s">
        <v>43</v>
      </c>
      <c r="C23" s="45">
        <f>1870*0.7</f>
        <v>1309</v>
      </c>
      <c r="D23" s="45">
        <f>990*0.7</f>
        <v>693</v>
      </c>
      <c r="E23" s="45"/>
    </row>
    <row r="24" spans="1:5" ht="52.5" customHeight="1" x14ac:dyDescent="0.25">
      <c r="A24" s="84">
        <v>2</v>
      </c>
      <c r="B24" s="14" t="s">
        <v>44</v>
      </c>
      <c r="C24" s="45">
        <f>1320*0.7</f>
        <v>923.99999999999989</v>
      </c>
      <c r="D24" s="45">
        <f>550*0.7</f>
        <v>385</v>
      </c>
      <c r="E24" s="45"/>
    </row>
    <row r="25" spans="1:5" ht="36.75" customHeight="1" x14ac:dyDescent="0.25">
      <c r="A25" s="84">
        <v>3</v>
      </c>
      <c r="B25" s="14" t="s">
        <v>45</v>
      </c>
      <c r="C25" s="45">
        <f>1100*0.7</f>
        <v>770</v>
      </c>
      <c r="D25" s="45">
        <f>440*0.7</f>
        <v>308</v>
      </c>
      <c r="E25" s="45"/>
    </row>
    <row r="26" spans="1:5" ht="78.75" x14ac:dyDescent="0.25">
      <c r="A26" s="84">
        <v>4</v>
      </c>
      <c r="B26" s="14" t="s">
        <v>46</v>
      </c>
      <c r="C26" s="45">
        <f>1760*0.7</f>
        <v>1232</v>
      </c>
      <c r="D26" s="45">
        <f>770*0.7</f>
        <v>539</v>
      </c>
      <c r="E26" s="45"/>
    </row>
    <row r="27" spans="1:5" ht="50.25" customHeight="1" x14ac:dyDescent="0.25">
      <c r="A27" s="84">
        <v>5</v>
      </c>
      <c r="B27" s="14" t="s">
        <v>47</v>
      </c>
      <c r="C27" s="45">
        <f>1760*0.7</f>
        <v>1232</v>
      </c>
      <c r="D27" s="45">
        <f>770*0.7</f>
        <v>539</v>
      </c>
      <c r="E27" s="45"/>
    </row>
    <row r="28" spans="1:5" ht="94.5" x14ac:dyDescent="0.25">
      <c r="A28" s="84">
        <v>6</v>
      </c>
      <c r="B28" s="14" t="s">
        <v>48</v>
      </c>
      <c r="C28" s="45">
        <f>1760*0.7</f>
        <v>1232</v>
      </c>
      <c r="D28" s="45">
        <f>770*0.7</f>
        <v>539</v>
      </c>
      <c r="E28" s="45"/>
    </row>
    <row r="29" spans="1:5" ht="20.25" customHeight="1" x14ac:dyDescent="0.25">
      <c r="A29" s="8" t="s">
        <v>18</v>
      </c>
      <c r="B29" s="9" t="s">
        <v>49</v>
      </c>
      <c r="C29" s="45"/>
      <c r="D29" s="45"/>
      <c r="E29" s="18"/>
    </row>
    <row r="30" spans="1:5" ht="20.25" customHeight="1" x14ac:dyDescent="0.25">
      <c r="A30" s="84">
        <v>1</v>
      </c>
      <c r="B30" s="13" t="s">
        <v>50</v>
      </c>
      <c r="C30" s="45">
        <f>1100*0.7</f>
        <v>770</v>
      </c>
      <c r="D30" s="45">
        <f>440*0.7</f>
        <v>308</v>
      </c>
      <c r="E30" s="45">
        <f>198*0.7</f>
        <v>138.6</v>
      </c>
    </row>
    <row r="31" spans="1:5" ht="38.25" customHeight="1" x14ac:dyDescent="0.25">
      <c r="A31" s="84">
        <v>2</v>
      </c>
      <c r="B31" s="13" t="s">
        <v>51</v>
      </c>
      <c r="C31" s="45">
        <f>1320*0.7</f>
        <v>923.99999999999989</v>
      </c>
      <c r="D31" s="45">
        <f>550*0.7</f>
        <v>385</v>
      </c>
      <c r="E31" s="45">
        <f>264*0.7</f>
        <v>184.79999999999998</v>
      </c>
    </row>
    <row r="32" spans="1:5" ht="31.5" x14ac:dyDescent="0.25">
      <c r="A32" s="84">
        <v>3</v>
      </c>
      <c r="B32" s="13" t="s">
        <v>52</v>
      </c>
      <c r="C32" s="45">
        <f>770*0.7</f>
        <v>539</v>
      </c>
      <c r="D32" s="45">
        <f>330*0.7</f>
        <v>230.99999999999997</v>
      </c>
      <c r="E32" s="45">
        <f>154*0.7</f>
        <v>107.8</v>
      </c>
    </row>
    <row r="33" spans="1:5" ht="63" x14ac:dyDescent="0.25">
      <c r="A33" s="84">
        <v>4</v>
      </c>
      <c r="B33" s="14" t="s">
        <v>53</v>
      </c>
      <c r="C33" s="45">
        <f>1540*0.7</f>
        <v>1078</v>
      </c>
      <c r="D33" s="45">
        <f>660*0.7</f>
        <v>461.99999999999994</v>
      </c>
      <c r="E33" s="45">
        <f>275*0.7</f>
        <v>192.5</v>
      </c>
    </row>
    <row r="34" spans="1:5" ht="48.75" customHeight="1" x14ac:dyDescent="0.25">
      <c r="A34" s="84">
        <v>5</v>
      </c>
      <c r="B34" s="14" t="s">
        <v>54</v>
      </c>
      <c r="C34" s="45">
        <f>880*0.7</f>
        <v>616</v>
      </c>
      <c r="D34" s="45">
        <f>385*0.7</f>
        <v>269.5</v>
      </c>
      <c r="E34" s="45">
        <f>165*0.7</f>
        <v>115.49999999999999</v>
      </c>
    </row>
    <row r="35" spans="1:5" ht="21" customHeight="1" x14ac:dyDescent="0.25">
      <c r="A35" s="8" t="s">
        <v>21</v>
      </c>
      <c r="B35" s="9" t="s">
        <v>55</v>
      </c>
      <c r="C35" s="45"/>
      <c r="D35" s="16"/>
      <c r="E35" s="45"/>
    </row>
    <row r="36" spans="1:5" ht="73.5" customHeight="1" x14ac:dyDescent="0.25">
      <c r="A36" s="84">
        <v>1</v>
      </c>
      <c r="B36" s="14" t="s">
        <v>56</v>
      </c>
      <c r="C36" s="45">
        <f>1056*0.7</f>
        <v>739.19999999999993</v>
      </c>
      <c r="D36" s="45">
        <f>440*0.7</f>
        <v>308</v>
      </c>
      <c r="E36" s="45">
        <f>187*0.7</f>
        <v>130.9</v>
      </c>
    </row>
    <row r="37" spans="1:5" ht="78.75" x14ac:dyDescent="0.25">
      <c r="A37" s="84">
        <v>2</v>
      </c>
      <c r="B37" s="14" t="s">
        <v>57</v>
      </c>
      <c r="C37" s="45">
        <f>1056*0.7</f>
        <v>739.19999999999993</v>
      </c>
      <c r="D37" s="45">
        <f>440*0.7</f>
        <v>308</v>
      </c>
      <c r="E37" s="45">
        <f>187*0.7</f>
        <v>130.9</v>
      </c>
    </row>
    <row r="38" spans="1:5" ht="31.5" x14ac:dyDescent="0.25">
      <c r="A38" s="84">
        <v>3</v>
      </c>
      <c r="B38" s="14" t="s">
        <v>58</v>
      </c>
      <c r="C38" s="45">
        <f>1056*0.7</f>
        <v>739.19999999999993</v>
      </c>
      <c r="D38" s="45">
        <f>440*0.7</f>
        <v>308</v>
      </c>
      <c r="E38" s="45">
        <f>187*0.7</f>
        <v>130.9</v>
      </c>
    </row>
    <row r="39" spans="1:5" ht="31.5" x14ac:dyDescent="0.25">
      <c r="A39" s="84">
        <v>4</v>
      </c>
      <c r="B39" s="14" t="s">
        <v>59</v>
      </c>
      <c r="C39" s="45">
        <f>770*0.7</f>
        <v>539</v>
      </c>
      <c r="D39" s="45">
        <f>330*0.7</f>
        <v>230.99999999999997</v>
      </c>
      <c r="E39" s="45">
        <f>154*0.7</f>
        <v>107.8</v>
      </c>
    </row>
    <row r="40" spans="1:5" ht="22.5" customHeight="1" x14ac:dyDescent="0.25">
      <c r="A40" s="8" t="s">
        <v>60</v>
      </c>
      <c r="B40" s="9" t="s">
        <v>61</v>
      </c>
      <c r="C40" s="45"/>
      <c r="D40" s="16"/>
      <c r="E40" s="45"/>
    </row>
    <row r="41" spans="1:5" ht="47.25" x14ac:dyDescent="0.25">
      <c r="A41" s="84">
        <v>1</v>
      </c>
      <c r="B41" s="14" t="s">
        <v>62</v>
      </c>
      <c r="C41" s="45">
        <f>770*0.7</f>
        <v>539</v>
      </c>
      <c r="D41" s="45">
        <f>330*0.7</f>
        <v>230.99999999999997</v>
      </c>
      <c r="E41" s="45">
        <f>132*0.7</f>
        <v>92.399999999999991</v>
      </c>
    </row>
    <row r="42" spans="1:5" ht="63" x14ac:dyDescent="0.25">
      <c r="A42" s="84">
        <v>2</v>
      </c>
      <c r="B42" s="14" t="s">
        <v>63</v>
      </c>
      <c r="C42" s="45">
        <f>825*0.7</f>
        <v>577.5</v>
      </c>
      <c r="D42" s="45">
        <f>385*0.7</f>
        <v>269.5</v>
      </c>
      <c r="E42" s="45">
        <f>165*0.7</f>
        <v>115.49999999999999</v>
      </c>
    </row>
    <row r="43" spans="1:5" ht="47.25" x14ac:dyDescent="0.25">
      <c r="A43" s="84">
        <v>3</v>
      </c>
      <c r="B43" s="14" t="s">
        <v>64</v>
      </c>
      <c r="C43" s="45">
        <f>935*0.7</f>
        <v>654.5</v>
      </c>
      <c r="D43" s="45">
        <f>616*0.7</f>
        <v>431.2</v>
      </c>
      <c r="E43" s="45"/>
    </row>
    <row r="44" spans="1:5" ht="22.5" customHeight="1" x14ac:dyDescent="0.25">
      <c r="A44" s="84">
        <v>4</v>
      </c>
      <c r="B44" s="14" t="s">
        <v>65</v>
      </c>
      <c r="C44" s="45">
        <f>440*0.7</f>
        <v>308</v>
      </c>
      <c r="D44" s="45">
        <f>264*0.7</f>
        <v>184.79999999999998</v>
      </c>
      <c r="E44" s="45">
        <f>110*0.7</f>
        <v>77</v>
      </c>
    </row>
    <row r="45" spans="1:5" ht="47.25" x14ac:dyDescent="0.25">
      <c r="A45" s="84">
        <v>5</v>
      </c>
      <c r="B45" s="14" t="s">
        <v>66</v>
      </c>
      <c r="C45" s="45">
        <f>495*0.7</f>
        <v>346.5</v>
      </c>
      <c r="D45" s="45">
        <f>275*0.7</f>
        <v>192.5</v>
      </c>
      <c r="E45" s="45">
        <f>132*0.7</f>
        <v>92.399999999999991</v>
      </c>
    </row>
    <row r="46" spans="1:5" ht="47.25" x14ac:dyDescent="0.25">
      <c r="A46" s="84">
        <v>6</v>
      </c>
      <c r="B46" s="14" t="s">
        <v>67</v>
      </c>
      <c r="C46" s="45">
        <f>495*0.7</f>
        <v>346.5</v>
      </c>
      <c r="D46" s="45">
        <f>275*0.7</f>
        <v>192.5</v>
      </c>
      <c r="E46" s="45">
        <f>132*0.7</f>
        <v>92.399999999999991</v>
      </c>
    </row>
    <row r="47" spans="1:5" ht="47.25" x14ac:dyDescent="0.25">
      <c r="A47" s="84">
        <v>7</v>
      </c>
      <c r="B47" s="14" t="s">
        <v>68</v>
      </c>
      <c r="C47" s="45">
        <f>495*0.7</f>
        <v>346.5</v>
      </c>
      <c r="D47" s="45">
        <f>275*0.7</f>
        <v>192.5</v>
      </c>
      <c r="E47" s="45">
        <f>132*0.7</f>
        <v>92.399999999999991</v>
      </c>
    </row>
    <row r="48" spans="1:5" ht="21" customHeight="1" x14ac:dyDescent="0.25">
      <c r="A48" s="84">
        <v>8</v>
      </c>
      <c r="B48" s="14" t="s">
        <v>1058</v>
      </c>
      <c r="C48" s="45">
        <f>660*0.7</f>
        <v>461.99999999999994</v>
      </c>
      <c r="D48" s="45">
        <f>385*0.7</f>
        <v>269.5</v>
      </c>
      <c r="E48" s="45">
        <f>165*0.7</f>
        <v>115.49999999999999</v>
      </c>
    </row>
    <row r="49" spans="1:5" ht="31.5" x14ac:dyDescent="0.25">
      <c r="A49" s="84">
        <v>9</v>
      </c>
      <c r="B49" s="14" t="s">
        <v>69</v>
      </c>
      <c r="C49" s="45">
        <f>660*0.7</f>
        <v>461.99999999999994</v>
      </c>
      <c r="D49" s="45">
        <f>308*0.7</f>
        <v>215.6</v>
      </c>
      <c r="E49" s="45">
        <f>143*0.7</f>
        <v>100.1</v>
      </c>
    </row>
    <row r="50" spans="1:5" ht="31.5" x14ac:dyDescent="0.25">
      <c r="A50" s="84">
        <v>10</v>
      </c>
      <c r="B50" s="14" t="s">
        <v>70</v>
      </c>
      <c r="C50" s="45">
        <f>770*0.7</f>
        <v>539</v>
      </c>
      <c r="D50" s="45">
        <f>330*0.7</f>
        <v>230.99999999999997</v>
      </c>
      <c r="E50" s="45">
        <f>132*0.7</f>
        <v>92.399999999999991</v>
      </c>
    </row>
    <row r="51" spans="1:5" x14ac:dyDescent="0.25">
      <c r="A51" s="84">
        <v>11</v>
      </c>
      <c r="B51" s="14" t="s">
        <v>71</v>
      </c>
      <c r="C51" s="45">
        <f>2860*0.7</f>
        <v>2001.9999999999998</v>
      </c>
      <c r="D51" s="45">
        <f>1320*0.7</f>
        <v>923.99999999999989</v>
      </c>
      <c r="E51" s="45">
        <f>550*0.7</f>
        <v>385</v>
      </c>
    </row>
    <row r="52" spans="1:5" x14ac:dyDescent="0.25">
      <c r="A52" s="84">
        <v>12</v>
      </c>
      <c r="B52" s="14" t="s">
        <v>72</v>
      </c>
      <c r="C52" s="45">
        <f>374*0.7</f>
        <v>261.8</v>
      </c>
      <c r="D52" s="45">
        <f>165*0.7</f>
        <v>115.49999999999999</v>
      </c>
      <c r="E52" s="45">
        <f>99*0.7</f>
        <v>69.3</v>
      </c>
    </row>
    <row r="53" spans="1:5" x14ac:dyDescent="0.25">
      <c r="A53" s="19"/>
      <c r="B53" s="19"/>
      <c r="C53" s="20"/>
      <c r="E53" s="21"/>
    </row>
    <row r="54" spans="1:5" x14ac:dyDescent="0.25">
      <c r="C54" s="20"/>
      <c r="E54" s="21"/>
    </row>
    <row r="55" spans="1:5" x14ac:dyDescent="0.25">
      <c r="C55" s="20"/>
      <c r="E55" s="21"/>
    </row>
    <row r="56" spans="1:5" x14ac:dyDescent="0.25">
      <c r="C56" s="20"/>
      <c r="E56" s="21"/>
    </row>
    <row r="57" spans="1:5" x14ac:dyDescent="0.25">
      <c r="C57" s="20"/>
      <c r="E57" s="21"/>
    </row>
  </sheetData>
  <mergeCells count="6">
    <mergeCell ref="A13:A14"/>
    <mergeCell ref="A1:D1"/>
    <mergeCell ref="A4:A5"/>
    <mergeCell ref="B4:B5"/>
    <mergeCell ref="C4:E4"/>
    <mergeCell ref="B2:E2"/>
  </mergeCells>
  <pageMargins left="0.28740157500000002" right="9.0551180999999994E-2" top="0.44055118100000001" bottom="0.240551181" header="0.118110236220472" footer="0.118110236220472"/>
  <pageSetup paperSize="9" scale="85" firstPageNumber="17" orientation="portrait" useFirstPageNumber="1"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1"/>
  <sheetViews>
    <sheetView topLeftCell="I1" zoomScale="70" zoomScaleNormal="70" workbookViewId="0">
      <selection activeCell="AD8" sqref="AD8"/>
    </sheetView>
  </sheetViews>
  <sheetFormatPr defaultRowHeight="18.75" x14ac:dyDescent="0.25"/>
  <cols>
    <col min="1" max="1" width="7.140625" style="61" hidden="1" customWidth="1"/>
    <col min="2" max="2" width="51.5703125" style="60" hidden="1" customWidth="1"/>
    <col min="3" max="8" width="10.42578125" style="61" hidden="1" customWidth="1"/>
    <col min="9" max="9" width="8.7109375" style="60" customWidth="1"/>
    <col min="10" max="10" width="67.28515625" style="60" customWidth="1"/>
    <col min="11" max="12" width="12" style="61" hidden="1" customWidth="1"/>
    <col min="13" max="13" width="5.7109375" style="61" hidden="1" customWidth="1"/>
    <col min="14" max="14" width="15.5703125" style="61" customWidth="1"/>
    <col min="15" max="15" width="11.42578125" style="61" customWidth="1"/>
    <col min="16" max="16" width="14.7109375" style="61" customWidth="1"/>
    <col min="17" max="19" width="12.5703125" style="61" hidden="1" customWidth="1"/>
    <col min="20" max="20" width="33.42578125" style="60" hidden="1" customWidth="1"/>
    <col min="21" max="26" width="10.28515625" style="60" hidden="1" customWidth="1"/>
    <col min="27" max="27" width="11.140625" style="60" hidden="1" customWidth="1"/>
    <col min="28" max="28" width="10.28515625" style="60" hidden="1" customWidth="1"/>
    <col min="29" max="29" width="9.140625" style="60"/>
    <col min="30" max="30" width="12.28515625" style="60" bestFit="1" customWidth="1"/>
    <col min="31" max="256" width="9.140625" style="60"/>
    <col min="257" max="257" width="7.140625" style="60" customWidth="1"/>
    <col min="258" max="258" width="51.5703125" style="60" customWidth="1"/>
    <col min="259" max="264" width="10.42578125" style="60" customWidth="1"/>
    <col min="265" max="265" width="8.7109375" style="60" customWidth="1"/>
    <col min="266" max="266" width="58.140625" style="60" customWidth="1"/>
    <col min="267" max="269" width="12" style="60" customWidth="1"/>
    <col min="270" max="275" width="12.5703125" style="60" customWidth="1"/>
    <col min="276" max="284" width="0" style="60" hidden="1" customWidth="1"/>
    <col min="285" max="285" width="9.140625" style="60"/>
    <col min="286" max="286" width="12.28515625" style="60" bestFit="1" customWidth="1"/>
    <col min="287" max="512" width="9.140625" style="60"/>
    <col min="513" max="513" width="7.140625" style="60" customWidth="1"/>
    <col min="514" max="514" width="51.5703125" style="60" customWidth="1"/>
    <col min="515" max="520" width="10.42578125" style="60" customWidth="1"/>
    <col min="521" max="521" width="8.7109375" style="60" customWidth="1"/>
    <col min="522" max="522" width="58.140625" style="60" customWidth="1"/>
    <col min="523" max="525" width="12" style="60" customWidth="1"/>
    <col min="526" max="531" width="12.5703125" style="60" customWidth="1"/>
    <col min="532" max="540" width="0" style="60" hidden="1" customWidth="1"/>
    <col min="541" max="541" width="9.140625" style="60"/>
    <col min="542" max="542" width="12.28515625" style="60" bestFit="1" customWidth="1"/>
    <col min="543" max="768" width="9.140625" style="60"/>
    <col min="769" max="769" width="7.140625" style="60" customWidth="1"/>
    <col min="770" max="770" width="51.5703125" style="60" customWidth="1"/>
    <col min="771" max="776" width="10.42578125" style="60" customWidth="1"/>
    <col min="777" max="777" width="8.7109375" style="60" customWidth="1"/>
    <col min="778" max="778" width="58.140625" style="60" customWidth="1"/>
    <col min="779" max="781" width="12" style="60" customWidth="1"/>
    <col min="782" max="787" width="12.5703125" style="60" customWidth="1"/>
    <col min="788" max="796" width="0" style="60" hidden="1" customWidth="1"/>
    <col min="797" max="797" width="9.140625" style="60"/>
    <col min="798" max="798" width="12.28515625" style="60" bestFit="1" customWidth="1"/>
    <col min="799" max="1024" width="9.140625" style="60"/>
    <col min="1025" max="1025" width="7.140625" style="60" customWidth="1"/>
    <col min="1026" max="1026" width="51.5703125" style="60" customWidth="1"/>
    <col min="1027" max="1032" width="10.42578125" style="60" customWidth="1"/>
    <col min="1033" max="1033" width="8.7109375" style="60" customWidth="1"/>
    <col min="1034" max="1034" width="58.140625" style="60" customWidth="1"/>
    <col min="1035" max="1037" width="12" style="60" customWidth="1"/>
    <col min="1038" max="1043" width="12.5703125" style="60" customWidth="1"/>
    <col min="1044" max="1052" width="0" style="60" hidden="1" customWidth="1"/>
    <col min="1053" max="1053" width="9.140625" style="60"/>
    <col min="1054" max="1054" width="12.28515625" style="60" bestFit="1" customWidth="1"/>
    <col min="1055" max="1280" width="9.140625" style="60"/>
    <col min="1281" max="1281" width="7.140625" style="60" customWidth="1"/>
    <col min="1282" max="1282" width="51.5703125" style="60" customWidth="1"/>
    <col min="1283" max="1288" width="10.42578125" style="60" customWidth="1"/>
    <col min="1289" max="1289" width="8.7109375" style="60" customWidth="1"/>
    <col min="1290" max="1290" width="58.140625" style="60" customWidth="1"/>
    <col min="1291" max="1293" width="12" style="60" customWidth="1"/>
    <col min="1294" max="1299" width="12.5703125" style="60" customWidth="1"/>
    <col min="1300" max="1308" width="0" style="60" hidden="1" customWidth="1"/>
    <col min="1309" max="1309" width="9.140625" style="60"/>
    <col min="1310" max="1310" width="12.28515625" style="60" bestFit="1" customWidth="1"/>
    <col min="1311" max="1536" width="9.140625" style="60"/>
    <col min="1537" max="1537" width="7.140625" style="60" customWidth="1"/>
    <col min="1538" max="1538" width="51.5703125" style="60" customWidth="1"/>
    <col min="1539" max="1544" width="10.42578125" style="60" customWidth="1"/>
    <col min="1545" max="1545" width="8.7109375" style="60" customWidth="1"/>
    <col min="1546" max="1546" width="58.140625" style="60" customWidth="1"/>
    <col min="1547" max="1549" width="12" style="60" customWidth="1"/>
    <col min="1550" max="1555" width="12.5703125" style="60" customWidth="1"/>
    <col min="1556" max="1564" width="0" style="60" hidden="1" customWidth="1"/>
    <col min="1565" max="1565" width="9.140625" style="60"/>
    <col min="1566" max="1566" width="12.28515625" style="60" bestFit="1" customWidth="1"/>
    <col min="1567" max="1792" width="9.140625" style="60"/>
    <col min="1793" max="1793" width="7.140625" style="60" customWidth="1"/>
    <col min="1794" max="1794" width="51.5703125" style="60" customWidth="1"/>
    <col min="1795" max="1800" width="10.42578125" style="60" customWidth="1"/>
    <col min="1801" max="1801" width="8.7109375" style="60" customWidth="1"/>
    <col min="1802" max="1802" width="58.140625" style="60" customWidth="1"/>
    <col min="1803" max="1805" width="12" style="60" customWidth="1"/>
    <col min="1806" max="1811" width="12.5703125" style="60" customWidth="1"/>
    <col min="1812" max="1820" width="0" style="60" hidden="1" customWidth="1"/>
    <col min="1821" max="1821" width="9.140625" style="60"/>
    <col min="1822" max="1822" width="12.28515625" style="60" bestFit="1" customWidth="1"/>
    <col min="1823" max="2048" width="9.140625" style="60"/>
    <col min="2049" max="2049" width="7.140625" style="60" customWidth="1"/>
    <col min="2050" max="2050" width="51.5703125" style="60" customWidth="1"/>
    <col min="2051" max="2056" width="10.42578125" style="60" customWidth="1"/>
    <col min="2057" max="2057" width="8.7109375" style="60" customWidth="1"/>
    <col min="2058" max="2058" width="58.140625" style="60" customWidth="1"/>
    <col min="2059" max="2061" width="12" style="60" customWidth="1"/>
    <col min="2062" max="2067" width="12.5703125" style="60" customWidth="1"/>
    <col min="2068" max="2076" width="0" style="60" hidden="1" customWidth="1"/>
    <col min="2077" max="2077" width="9.140625" style="60"/>
    <col min="2078" max="2078" width="12.28515625" style="60" bestFit="1" customWidth="1"/>
    <col min="2079" max="2304" width="9.140625" style="60"/>
    <col min="2305" max="2305" width="7.140625" style="60" customWidth="1"/>
    <col min="2306" max="2306" width="51.5703125" style="60" customWidth="1"/>
    <col min="2307" max="2312" width="10.42578125" style="60" customWidth="1"/>
    <col min="2313" max="2313" width="8.7109375" style="60" customWidth="1"/>
    <col min="2314" max="2314" width="58.140625" style="60" customWidth="1"/>
    <col min="2315" max="2317" width="12" style="60" customWidth="1"/>
    <col min="2318" max="2323" width="12.5703125" style="60" customWidth="1"/>
    <col min="2324" max="2332" width="0" style="60" hidden="1" customWidth="1"/>
    <col min="2333" max="2333" width="9.140625" style="60"/>
    <col min="2334" max="2334" width="12.28515625" style="60" bestFit="1" customWidth="1"/>
    <col min="2335" max="2560" width="9.140625" style="60"/>
    <col min="2561" max="2561" width="7.140625" style="60" customWidth="1"/>
    <col min="2562" max="2562" width="51.5703125" style="60" customWidth="1"/>
    <col min="2563" max="2568" width="10.42578125" style="60" customWidth="1"/>
    <col min="2569" max="2569" width="8.7109375" style="60" customWidth="1"/>
    <col min="2570" max="2570" width="58.140625" style="60" customWidth="1"/>
    <col min="2571" max="2573" width="12" style="60" customWidth="1"/>
    <col min="2574" max="2579" width="12.5703125" style="60" customWidth="1"/>
    <col min="2580" max="2588" width="0" style="60" hidden="1" customWidth="1"/>
    <col min="2589" max="2589" width="9.140625" style="60"/>
    <col min="2590" max="2590" width="12.28515625" style="60" bestFit="1" customWidth="1"/>
    <col min="2591" max="2816" width="9.140625" style="60"/>
    <col min="2817" max="2817" width="7.140625" style="60" customWidth="1"/>
    <col min="2818" max="2818" width="51.5703125" style="60" customWidth="1"/>
    <col min="2819" max="2824" width="10.42578125" style="60" customWidth="1"/>
    <col min="2825" max="2825" width="8.7109375" style="60" customWidth="1"/>
    <col min="2826" max="2826" width="58.140625" style="60" customWidth="1"/>
    <col min="2827" max="2829" width="12" style="60" customWidth="1"/>
    <col min="2830" max="2835" width="12.5703125" style="60" customWidth="1"/>
    <col min="2836" max="2844" width="0" style="60" hidden="1" customWidth="1"/>
    <col min="2845" max="2845" width="9.140625" style="60"/>
    <col min="2846" max="2846" width="12.28515625" style="60" bestFit="1" customWidth="1"/>
    <col min="2847" max="3072" width="9.140625" style="60"/>
    <col min="3073" max="3073" width="7.140625" style="60" customWidth="1"/>
    <col min="3074" max="3074" width="51.5703125" style="60" customWidth="1"/>
    <col min="3075" max="3080" width="10.42578125" style="60" customWidth="1"/>
    <col min="3081" max="3081" width="8.7109375" style="60" customWidth="1"/>
    <col min="3082" max="3082" width="58.140625" style="60" customWidth="1"/>
    <col min="3083" max="3085" width="12" style="60" customWidth="1"/>
    <col min="3086" max="3091" width="12.5703125" style="60" customWidth="1"/>
    <col min="3092" max="3100" width="0" style="60" hidden="1" customWidth="1"/>
    <col min="3101" max="3101" width="9.140625" style="60"/>
    <col min="3102" max="3102" width="12.28515625" style="60" bestFit="1" customWidth="1"/>
    <col min="3103" max="3328" width="9.140625" style="60"/>
    <col min="3329" max="3329" width="7.140625" style="60" customWidth="1"/>
    <col min="3330" max="3330" width="51.5703125" style="60" customWidth="1"/>
    <col min="3331" max="3336" width="10.42578125" style="60" customWidth="1"/>
    <col min="3337" max="3337" width="8.7109375" style="60" customWidth="1"/>
    <col min="3338" max="3338" width="58.140625" style="60" customWidth="1"/>
    <col min="3339" max="3341" width="12" style="60" customWidth="1"/>
    <col min="3342" max="3347" width="12.5703125" style="60" customWidth="1"/>
    <col min="3348" max="3356" width="0" style="60" hidden="1" customWidth="1"/>
    <col min="3357" max="3357" width="9.140625" style="60"/>
    <col min="3358" max="3358" width="12.28515625" style="60" bestFit="1" customWidth="1"/>
    <col min="3359" max="3584" width="9.140625" style="60"/>
    <col min="3585" max="3585" width="7.140625" style="60" customWidth="1"/>
    <col min="3586" max="3586" width="51.5703125" style="60" customWidth="1"/>
    <col min="3587" max="3592" width="10.42578125" style="60" customWidth="1"/>
    <col min="3593" max="3593" width="8.7109375" style="60" customWidth="1"/>
    <col min="3594" max="3594" width="58.140625" style="60" customWidth="1"/>
    <col min="3595" max="3597" width="12" style="60" customWidth="1"/>
    <col min="3598" max="3603" width="12.5703125" style="60" customWidth="1"/>
    <col min="3604" max="3612" width="0" style="60" hidden="1" customWidth="1"/>
    <col min="3613" max="3613" width="9.140625" style="60"/>
    <col min="3614" max="3614" width="12.28515625" style="60" bestFit="1" customWidth="1"/>
    <col min="3615" max="3840" width="9.140625" style="60"/>
    <col min="3841" max="3841" width="7.140625" style="60" customWidth="1"/>
    <col min="3842" max="3842" width="51.5703125" style="60" customWidth="1"/>
    <col min="3843" max="3848" width="10.42578125" style="60" customWidth="1"/>
    <col min="3849" max="3849" width="8.7109375" style="60" customWidth="1"/>
    <col min="3850" max="3850" width="58.140625" style="60" customWidth="1"/>
    <col min="3851" max="3853" width="12" style="60" customWidth="1"/>
    <col min="3854" max="3859" width="12.5703125" style="60" customWidth="1"/>
    <col min="3860" max="3868" width="0" style="60" hidden="1" customWidth="1"/>
    <col min="3869" max="3869" width="9.140625" style="60"/>
    <col min="3870" max="3870" width="12.28515625" style="60" bestFit="1" customWidth="1"/>
    <col min="3871" max="4096" width="9.140625" style="60"/>
    <col min="4097" max="4097" width="7.140625" style="60" customWidth="1"/>
    <col min="4098" max="4098" width="51.5703125" style="60" customWidth="1"/>
    <col min="4099" max="4104" width="10.42578125" style="60" customWidth="1"/>
    <col min="4105" max="4105" width="8.7109375" style="60" customWidth="1"/>
    <col min="4106" max="4106" width="58.140625" style="60" customWidth="1"/>
    <col min="4107" max="4109" width="12" style="60" customWidth="1"/>
    <col min="4110" max="4115" width="12.5703125" style="60" customWidth="1"/>
    <col min="4116" max="4124" width="0" style="60" hidden="1" customWidth="1"/>
    <col min="4125" max="4125" width="9.140625" style="60"/>
    <col min="4126" max="4126" width="12.28515625" style="60" bestFit="1" customWidth="1"/>
    <col min="4127" max="4352" width="9.140625" style="60"/>
    <col min="4353" max="4353" width="7.140625" style="60" customWidth="1"/>
    <col min="4354" max="4354" width="51.5703125" style="60" customWidth="1"/>
    <col min="4355" max="4360" width="10.42578125" style="60" customWidth="1"/>
    <col min="4361" max="4361" width="8.7109375" style="60" customWidth="1"/>
    <col min="4362" max="4362" width="58.140625" style="60" customWidth="1"/>
    <col min="4363" max="4365" width="12" style="60" customWidth="1"/>
    <col min="4366" max="4371" width="12.5703125" style="60" customWidth="1"/>
    <col min="4372" max="4380" width="0" style="60" hidden="1" customWidth="1"/>
    <col min="4381" max="4381" width="9.140625" style="60"/>
    <col min="4382" max="4382" width="12.28515625" style="60" bestFit="1" customWidth="1"/>
    <col min="4383" max="4608" width="9.140625" style="60"/>
    <col min="4609" max="4609" width="7.140625" style="60" customWidth="1"/>
    <col min="4610" max="4610" width="51.5703125" style="60" customWidth="1"/>
    <col min="4611" max="4616" width="10.42578125" style="60" customWidth="1"/>
    <col min="4617" max="4617" width="8.7109375" style="60" customWidth="1"/>
    <col min="4618" max="4618" width="58.140625" style="60" customWidth="1"/>
    <col min="4619" max="4621" width="12" style="60" customWidth="1"/>
    <col min="4622" max="4627" width="12.5703125" style="60" customWidth="1"/>
    <col min="4628" max="4636" width="0" style="60" hidden="1" customWidth="1"/>
    <col min="4637" max="4637" width="9.140625" style="60"/>
    <col min="4638" max="4638" width="12.28515625" style="60" bestFit="1" customWidth="1"/>
    <col min="4639" max="4864" width="9.140625" style="60"/>
    <col min="4865" max="4865" width="7.140625" style="60" customWidth="1"/>
    <col min="4866" max="4866" width="51.5703125" style="60" customWidth="1"/>
    <col min="4867" max="4872" width="10.42578125" style="60" customWidth="1"/>
    <col min="4873" max="4873" width="8.7109375" style="60" customWidth="1"/>
    <col min="4874" max="4874" width="58.140625" style="60" customWidth="1"/>
    <col min="4875" max="4877" width="12" style="60" customWidth="1"/>
    <col min="4878" max="4883" width="12.5703125" style="60" customWidth="1"/>
    <col min="4884" max="4892" width="0" style="60" hidden="1" customWidth="1"/>
    <col min="4893" max="4893" width="9.140625" style="60"/>
    <col min="4894" max="4894" width="12.28515625" style="60" bestFit="1" customWidth="1"/>
    <col min="4895" max="5120" width="9.140625" style="60"/>
    <col min="5121" max="5121" width="7.140625" style="60" customWidth="1"/>
    <col min="5122" max="5122" width="51.5703125" style="60" customWidth="1"/>
    <col min="5123" max="5128" width="10.42578125" style="60" customWidth="1"/>
    <col min="5129" max="5129" width="8.7109375" style="60" customWidth="1"/>
    <col min="5130" max="5130" width="58.140625" style="60" customWidth="1"/>
    <col min="5131" max="5133" width="12" style="60" customWidth="1"/>
    <col min="5134" max="5139" width="12.5703125" style="60" customWidth="1"/>
    <col min="5140" max="5148" width="0" style="60" hidden="1" customWidth="1"/>
    <col min="5149" max="5149" width="9.140625" style="60"/>
    <col min="5150" max="5150" width="12.28515625" style="60" bestFit="1" customWidth="1"/>
    <col min="5151" max="5376" width="9.140625" style="60"/>
    <col min="5377" max="5377" width="7.140625" style="60" customWidth="1"/>
    <col min="5378" max="5378" width="51.5703125" style="60" customWidth="1"/>
    <col min="5379" max="5384" width="10.42578125" style="60" customWidth="1"/>
    <col min="5385" max="5385" width="8.7109375" style="60" customWidth="1"/>
    <col min="5386" max="5386" width="58.140625" style="60" customWidth="1"/>
    <col min="5387" max="5389" width="12" style="60" customWidth="1"/>
    <col min="5390" max="5395" width="12.5703125" style="60" customWidth="1"/>
    <col min="5396" max="5404" width="0" style="60" hidden="1" customWidth="1"/>
    <col min="5405" max="5405" width="9.140625" style="60"/>
    <col min="5406" max="5406" width="12.28515625" style="60" bestFit="1" customWidth="1"/>
    <col min="5407" max="5632" width="9.140625" style="60"/>
    <col min="5633" max="5633" width="7.140625" style="60" customWidth="1"/>
    <col min="5634" max="5634" width="51.5703125" style="60" customWidth="1"/>
    <col min="5635" max="5640" width="10.42578125" style="60" customWidth="1"/>
    <col min="5641" max="5641" width="8.7109375" style="60" customWidth="1"/>
    <col min="5642" max="5642" width="58.140625" style="60" customWidth="1"/>
    <col min="5643" max="5645" width="12" style="60" customWidth="1"/>
    <col min="5646" max="5651" width="12.5703125" style="60" customWidth="1"/>
    <col min="5652" max="5660" width="0" style="60" hidden="1" customWidth="1"/>
    <col min="5661" max="5661" width="9.140625" style="60"/>
    <col min="5662" max="5662" width="12.28515625" style="60" bestFit="1" customWidth="1"/>
    <col min="5663" max="5888" width="9.140625" style="60"/>
    <col min="5889" max="5889" width="7.140625" style="60" customWidth="1"/>
    <col min="5890" max="5890" width="51.5703125" style="60" customWidth="1"/>
    <col min="5891" max="5896" width="10.42578125" style="60" customWidth="1"/>
    <col min="5897" max="5897" width="8.7109375" style="60" customWidth="1"/>
    <col min="5898" max="5898" width="58.140625" style="60" customWidth="1"/>
    <col min="5899" max="5901" width="12" style="60" customWidth="1"/>
    <col min="5902" max="5907" width="12.5703125" style="60" customWidth="1"/>
    <col min="5908" max="5916" width="0" style="60" hidden="1" customWidth="1"/>
    <col min="5917" max="5917" width="9.140625" style="60"/>
    <col min="5918" max="5918" width="12.28515625" style="60" bestFit="1" customWidth="1"/>
    <col min="5919" max="6144" width="9.140625" style="60"/>
    <col min="6145" max="6145" width="7.140625" style="60" customWidth="1"/>
    <col min="6146" max="6146" width="51.5703125" style="60" customWidth="1"/>
    <col min="6147" max="6152" width="10.42578125" style="60" customWidth="1"/>
    <col min="6153" max="6153" width="8.7109375" style="60" customWidth="1"/>
    <col min="6154" max="6154" width="58.140625" style="60" customWidth="1"/>
    <col min="6155" max="6157" width="12" style="60" customWidth="1"/>
    <col min="6158" max="6163" width="12.5703125" style="60" customWidth="1"/>
    <col min="6164" max="6172" width="0" style="60" hidden="1" customWidth="1"/>
    <col min="6173" max="6173" width="9.140625" style="60"/>
    <col min="6174" max="6174" width="12.28515625" style="60" bestFit="1" customWidth="1"/>
    <col min="6175" max="6400" width="9.140625" style="60"/>
    <col min="6401" max="6401" width="7.140625" style="60" customWidth="1"/>
    <col min="6402" max="6402" width="51.5703125" style="60" customWidth="1"/>
    <col min="6403" max="6408" width="10.42578125" style="60" customWidth="1"/>
    <col min="6409" max="6409" width="8.7109375" style="60" customWidth="1"/>
    <col min="6410" max="6410" width="58.140625" style="60" customWidth="1"/>
    <col min="6411" max="6413" width="12" style="60" customWidth="1"/>
    <col min="6414" max="6419" width="12.5703125" style="60" customWidth="1"/>
    <col min="6420" max="6428" width="0" style="60" hidden="1" customWidth="1"/>
    <col min="6429" max="6429" width="9.140625" style="60"/>
    <col min="6430" max="6430" width="12.28515625" style="60" bestFit="1" customWidth="1"/>
    <col min="6431" max="6656" width="9.140625" style="60"/>
    <col min="6657" max="6657" width="7.140625" style="60" customWidth="1"/>
    <col min="6658" max="6658" width="51.5703125" style="60" customWidth="1"/>
    <col min="6659" max="6664" width="10.42578125" style="60" customWidth="1"/>
    <col min="6665" max="6665" width="8.7109375" style="60" customWidth="1"/>
    <col min="6666" max="6666" width="58.140625" style="60" customWidth="1"/>
    <col min="6667" max="6669" width="12" style="60" customWidth="1"/>
    <col min="6670" max="6675" width="12.5703125" style="60" customWidth="1"/>
    <col min="6676" max="6684" width="0" style="60" hidden="1" customWidth="1"/>
    <col min="6685" max="6685" width="9.140625" style="60"/>
    <col min="6686" max="6686" width="12.28515625" style="60" bestFit="1" customWidth="1"/>
    <col min="6687" max="6912" width="9.140625" style="60"/>
    <col min="6913" max="6913" width="7.140625" style="60" customWidth="1"/>
    <col min="6914" max="6914" width="51.5703125" style="60" customWidth="1"/>
    <col min="6915" max="6920" width="10.42578125" style="60" customWidth="1"/>
    <col min="6921" max="6921" width="8.7109375" style="60" customWidth="1"/>
    <col min="6922" max="6922" width="58.140625" style="60" customWidth="1"/>
    <col min="6923" max="6925" width="12" style="60" customWidth="1"/>
    <col min="6926" max="6931" width="12.5703125" style="60" customWidth="1"/>
    <col min="6932" max="6940" width="0" style="60" hidden="1" customWidth="1"/>
    <col min="6941" max="6941" width="9.140625" style="60"/>
    <col min="6942" max="6942" width="12.28515625" style="60" bestFit="1" customWidth="1"/>
    <col min="6943" max="7168" width="9.140625" style="60"/>
    <col min="7169" max="7169" width="7.140625" style="60" customWidth="1"/>
    <col min="7170" max="7170" width="51.5703125" style="60" customWidth="1"/>
    <col min="7171" max="7176" width="10.42578125" style="60" customWidth="1"/>
    <col min="7177" max="7177" width="8.7109375" style="60" customWidth="1"/>
    <col min="7178" max="7178" width="58.140625" style="60" customWidth="1"/>
    <col min="7179" max="7181" width="12" style="60" customWidth="1"/>
    <col min="7182" max="7187" width="12.5703125" style="60" customWidth="1"/>
    <col min="7188" max="7196" width="0" style="60" hidden="1" customWidth="1"/>
    <col min="7197" max="7197" width="9.140625" style="60"/>
    <col min="7198" max="7198" width="12.28515625" style="60" bestFit="1" customWidth="1"/>
    <col min="7199" max="7424" width="9.140625" style="60"/>
    <col min="7425" max="7425" width="7.140625" style="60" customWidth="1"/>
    <col min="7426" max="7426" width="51.5703125" style="60" customWidth="1"/>
    <col min="7427" max="7432" width="10.42578125" style="60" customWidth="1"/>
    <col min="7433" max="7433" width="8.7109375" style="60" customWidth="1"/>
    <col min="7434" max="7434" width="58.140625" style="60" customWidth="1"/>
    <col min="7435" max="7437" width="12" style="60" customWidth="1"/>
    <col min="7438" max="7443" width="12.5703125" style="60" customWidth="1"/>
    <col min="7444" max="7452" width="0" style="60" hidden="1" customWidth="1"/>
    <col min="7453" max="7453" width="9.140625" style="60"/>
    <col min="7454" max="7454" width="12.28515625" style="60" bestFit="1" customWidth="1"/>
    <col min="7455" max="7680" width="9.140625" style="60"/>
    <col min="7681" max="7681" width="7.140625" style="60" customWidth="1"/>
    <col min="7682" max="7682" width="51.5703125" style="60" customWidth="1"/>
    <col min="7683" max="7688" width="10.42578125" style="60" customWidth="1"/>
    <col min="7689" max="7689" width="8.7109375" style="60" customWidth="1"/>
    <col min="7690" max="7690" width="58.140625" style="60" customWidth="1"/>
    <col min="7691" max="7693" width="12" style="60" customWidth="1"/>
    <col min="7694" max="7699" width="12.5703125" style="60" customWidth="1"/>
    <col min="7700" max="7708" width="0" style="60" hidden="1" customWidth="1"/>
    <col min="7709" max="7709" width="9.140625" style="60"/>
    <col min="7710" max="7710" width="12.28515625" style="60" bestFit="1" customWidth="1"/>
    <col min="7711" max="7936" width="9.140625" style="60"/>
    <col min="7937" max="7937" width="7.140625" style="60" customWidth="1"/>
    <col min="7938" max="7938" width="51.5703125" style="60" customWidth="1"/>
    <col min="7939" max="7944" width="10.42578125" style="60" customWidth="1"/>
    <col min="7945" max="7945" width="8.7109375" style="60" customWidth="1"/>
    <col min="7946" max="7946" width="58.140625" style="60" customWidth="1"/>
    <col min="7947" max="7949" width="12" style="60" customWidth="1"/>
    <col min="7950" max="7955" width="12.5703125" style="60" customWidth="1"/>
    <col min="7956" max="7964" width="0" style="60" hidden="1" customWidth="1"/>
    <col min="7965" max="7965" width="9.140625" style="60"/>
    <col min="7966" max="7966" width="12.28515625" style="60" bestFit="1" customWidth="1"/>
    <col min="7967" max="8192" width="9.140625" style="60"/>
    <col min="8193" max="8193" width="7.140625" style="60" customWidth="1"/>
    <col min="8194" max="8194" width="51.5703125" style="60" customWidth="1"/>
    <col min="8195" max="8200" width="10.42578125" style="60" customWidth="1"/>
    <col min="8201" max="8201" width="8.7109375" style="60" customWidth="1"/>
    <col min="8202" max="8202" width="58.140625" style="60" customWidth="1"/>
    <col min="8203" max="8205" width="12" style="60" customWidth="1"/>
    <col min="8206" max="8211" width="12.5703125" style="60" customWidth="1"/>
    <col min="8212" max="8220" width="0" style="60" hidden="1" customWidth="1"/>
    <col min="8221" max="8221" width="9.140625" style="60"/>
    <col min="8222" max="8222" width="12.28515625" style="60" bestFit="1" customWidth="1"/>
    <col min="8223" max="8448" width="9.140625" style="60"/>
    <col min="8449" max="8449" width="7.140625" style="60" customWidth="1"/>
    <col min="8450" max="8450" width="51.5703125" style="60" customWidth="1"/>
    <col min="8451" max="8456" width="10.42578125" style="60" customWidth="1"/>
    <col min="8457" max="8457" width="8.7109375" style="60" customWidth="1"/>
    <col min="8458" max="8458" width="58.140625" style="60" customWidth="1"/>
    <col min="8459" max="8461" width="12" style="60" customWidth="1"/>
    <col min="8462" max="8467" width="12.5703125" style="60" customWidth="1"/>
    <col min="8468" max="8476" width="0" style="60" hidden="1" customWidth="1"/>
    <col min="8477" max="8477" width="9.140625" style="60"/>
    <col min="8478" max="8478" width="12.28515625" style="60" bestFit="1" customWidth="1"/>
    <col min="8479" max="8704" width="9.140625" style="60"/>
    <col min="8705" max="8705" width="7.140625" style="60" customWidth="1"/>
    <col min="8706" max="8706" width="51.5703125" style="60" customWidth="1"/>
    <col min="8707" max="8712" width="10.42578125" style="60" customWidth="1"/>
    <col min="8713" max="8713" width="8.7109375" style="60" customWidth="1"/>
    <col min="8714" max="8714" width="58.140625" style="60" customWidth="1"/>
    <col min="8715" max="8717" width="12" style="60" customWidth="1"/>
    <col min="8718" max="8723" width="12.5703125" style="60" customWidth="1"/>
    <col min="8724" max="8732" width="0" style="60" hidden="1" customWidth="1"/>
    <col min="8733" max="8733" width="9.140625" style="60"/>
    <col min="8734" max="8734" width="12.28515625" style="60" bestFit="1" customWidth="1"/>
    <col min="8735" max="8960" width="9.140625" style="60"/>
    <col min="8961" max="8961" width="7.140625" style="60" customWidth="1"/>
    <col min="8962" max="8962" width="51.5703125" style="60" customWidth="1"/>
    <col min="8963" max="8968" width="10.42578125" style="60" customWidth="1"/>
    <col min="8969" max="8969" width="8.7109375" style="60" customWidth="1"/>
    <col min="8970" max="8970" width="58.140625" style="60" customWidth="1"/>
    <col min="8971" max="8973" width="12" style="60" customWidth="1"/>
    <col min="8974" max="8979" width="12.5703125" style="60" customWidth="1"/>
    <col min="8980" max="8988" width="0" style="60" hidden="1" customWidth="1"/>
    <col min="8989" max="8989" width="9.140625" style="60"/>
    <col min="8990" max="8990" width="12.28515625" style="60" bestFit="1" customWidth="1"/>
    <col min="8991" max="9216" width="9.140625" style="60"/>
    <col min="9217" max="9217" width="7.140625" style="60" customWidth="1"/>
    <col min="9218" max="9218" width="51.5703125" style="60" customWidth="1"/>
    <col min="9219" max="9224" width="10.42578125" style="60" customWidth="1"/>
    <col min="9225" max="9225" width="8.7109375" style="60" customWidth="1"/>
    <col min="9226" max="9226" width="58.140625" style="60" customWidth="1"/>
    <col min="9227" max="9229" width="12" style="60" customWidth="1"/>
    <col min="9230" max="9235" width="12.5703125" style="60" customWidth="1"/>
    <col min="9236" max="9244" width="0" style="60" hidden="1" customWidth="1"/>
    <col min="9245" max="9245" width="9.140625" style="60"/>
    <col min="9246" max="9246" width="12.28515625" style="60" bestFit="1" customWidth="1"/>
    <col min="9247" max="9472" width="9.140625" style="60"/>
    <col min="9473" max="9473" width="7.140625" style="60" customWidth="1"/>
    <col min="9474" max="9474" width="51.5703125" style="60" customWidth="1"/>
    <col min="9475" max="9480" width="10.42578125" style="60" customWidth="1"/>
    <col min="9481" max="9481" width="8.7109375" style="60" customWidth="1"/>
    <col min="9482" max="9482" width="58.140625" style="60" customWidth="1"/>
    <col min="9483" max="9485" width="12" style="60" customWidth="1"/>
    <col min="9486" max="9491" width="12.5703125" style="60" customWidth="1"/>
    <col min="9492" max="9500" width="0" style="60" hidden="1" customWidth="1"/>
    <col min="9501" max="9501" width="9.140625" style="60"/>
    <col min="9502" max="9502" width="12.28515625" style="60" bestFit="1" customWidth="1"/>
    <col min="9503" max="9728" width="9.140625" style="60"/>
    <col min="9729" max="9729" width="7.140625" style="60" customWidth="1"/>
    <col min="9730" max="9730" width="51.5703125" style="60" customWidth="1"/>
    <col min="9731" max="9736" width="10.42578125" style="60" customWidth="1"/>
    <col min="9737" max="9737" width="8.7109375" style="60" customWidth="1"/>
    <col min="9738" max="9738" width="58.140625" style="60" customWidth="1"/>
    <col min="9739" max="9741" width="12" style="60" customWidth="1"/>
    <col min="9742" max="9747" width="12.5703125" style="60" customWidth="1"/>
    <col min="9748" max="9756" width="0" style="60" hidden="1" customWidth="1"/>
    <col min="9757" max="9757" width="9.140625" style="60"/>
    <col min="9758" max="9758" width="12.28515625" style="60" bestFit="1" customWidth="1"/>
    <col min="9759" max="9984" width="9.140625" style="60"/>
    <col min="9985" max="9985" width="7.140625" style="60" customWidth="1"/>
    <col min="9986" max="9986" width="51.5703125" style="60" customWidth="1"/>
    <col min="9987" max="9992" width="10.42578125" style="60" customWidth="1"/>
    <col min="9993" max="9993" width="8.7109375" style="60" customWidth="1"/>
    <col min="9994" max="9994" width="58.140625" style="60" customWidth="1"/>
    <col min="9995" max="9997" width="12" style="60" customWidth="1"/>
    <col min="9998" max="10003" width="12.5703125" style="60" customWidth="1"/>
    <col min="10004" max="10012" width="0" style="60" hidden="1" customWidth="1"/>
    <col min="10013" max="10013" width="9.140625" style="60"/>
    <col min="10014" max="10014" width="12.28515625" style="60" bestFit="1" customWidth="1"/>
    <col min="10015" max="10240" width="9.140625" style="60"/>
    <col min="10241" max="10241" width="7.140625" style="60" customWidth="1"/>
    <col min="10242" max="10242" width="51.5703125" style="60" customWidth="1"/>
    <col min="10243" max="10248" width="10.42578125" style="60" customWidth="1"/>
    <col min="10249" max="10249" width="8.7109375" style="60" customWidth="1"/>
    <col min="10250" max="10250" width="58.140625" style="60" customWidth="1"/>
    <col min="10251" max="10253" width="12" style="60" customWidth="1"/>
    <col min="10254" max="10259" width="12.5703125" style="60" customWidth="1"/>
    <col min="10260" max="10268" width="0" style="60" hidden="1" customWidth="1"/>
    <col min="10269" max="10269" width="9.140625" style="60"/>
    <col min="10270" max="10270" width="12.28515625" style="60" bestFit="1" customWidth="1"/>
    <col min="10271" max="10496" width="9.140625" style="60"/>
    <col min="10497" max="10497" width="7.140625" style="60" customWidth="1"/>
    <col min="10498" max="10498" width="51.5703125" style="60" customWidth="1"/>
    <col min="10499" max="10504" width="10.42578125" style="60" customWidth="1"/>
    <col min="10505" max="10505" width="8.7109375" style="60" customWidth="1"/>
    <col min="10506" max="10506" width="58.140625" style="60" customWidth="1"/>
    <col min="10507" max="10509" width="12" style="60" customWidth="1"/>
    <col min="10510" max="10515" width="12.5703125" style="60" customWidth="1"/>
    <col min="10516" max="10524" width="0" style="60" hidden="1" customWidth="1"/>
    <col min="10525" max="10525" width="9.140625" style="60"/>
    <col min="10526" max="10526" width="12.28515625" style="60" bestFit="1" customWidth="1"/>
    <col min="10527" max="10752" width="9.140625" style="60"/>
    <col min="10753" max="10753" width="7.140625" style="60" customWidth="1"/>
    <col min="10754" max="10754" width="51.5703125" style="60" customWidth="1"/>
    <col min="10755" max="10760" width="10.42578125" style="60" customWidth="1"/>
    <col min="10761" max="10761" width="8.7109375" style="60" customWidth="1"/>
    <col min="10762" max="10762" width="58.140625" style="60" customWidth="1"/>
    <col min="10763" max="10765" width="12" style="60" customWidth="1"/>
    <col min="10766" max="10771" width="12.5703125" style="60" customWidth="1"/>
    <col min="10772" max="10780" width="0" style="60" hidden="1" customWidth="1"/>
    <col min="10781" max="10781" width="9.140625" style="60"/>
    <col min="10782" max="10782" width="12.28515625" style="60" bestFit="1" customWidth="1"/>
    <col min="10783" max="11008" width="9.140625" style="60"/>
    <col min="11009" max="11009" width="7.140625" style="60" customWidth="1"/>
    <col min="11010" max="11010" width="51.5703125" style="60" customWidth="1"/>
    <col min="11011" max="11016" width="10.42578125" style="60" customWidth="1"/>
    <col min="11017" max="11017" width="8.7109375" style="60" customWidth="1"/>
    <col min="11018" max="11018" width="58.140625" style="60" customWidth="1"/>
    <col min="11019" max="11021" width="12" style="60" customWidth="1"/>
    <col min="11022" max="11027" width="12.5703125" style="60" customWidth="1"/>
    <col min="11028" max="11036" width="0" style="60" hidden="1" customWidth="1"/>
    <col min="11037" max="11037" width="9.140625" style="60"/>
    <col min="11038" max="11038" width="12.28515625" style="60" bestFit="1" customWidth="1"/>
    <col min="11039" max="11264" width="9.140625" style="60"/>
    <col min="11265" max="11265" width="7.140625" style="60" customWidth="1"/>
    <col min="11266" max="11266" width="51.5703125" style="60" customWidth="1"/>
    <col min="11267" max="11272" width="10.42578125" style="60" customWidth="1"/>
    <col min="11273" max="11273" width="8.7109375" style="60" customWidth="1"/>
    <col min="11274" max="11274" width="58.140625" style="60" customWidth="1"/>
    <col min="11275" max="11277" width="12" style="60" customWidth="1"/>
    <col min="11278" max="11283" width="12.5703125" style="60" customWidth="1"/>
    <col min="11284" max="11292" width="0" style="60" hidden="1" customWidth="1"/>
    <col min="11293" max="11293" width="9.140625" style="60"/>
    <col min="11294" max="11294" width="12.28515625" style="60" bestFit="1" customWidth="1"/>
    <col min="11295" max="11520" width="9.140625" style="60"/>
    <col min="11521" max="11521" width="7.140625" style="60" customWidth="1"/>
    <col min="11522" max="11522" width="51.5703125" style="60" customWidth="1"/>
    <col min="11523" max="11528" width="10.42578125" style="60" customWidth="1"/>
    <col min="11529" max="11529" width="8.7109375" style="60" customWidth="1"/>
    <col min="11530" max="11530" width="58.140625" style="60" customWidth="1"/>
    <col min="11531" max="11533" width="12" style="60" customWidth="1"/>
    <col min="11534" max="11539" width="12.5703125" style="60" customWidth="1"/>
    <col min="11540" max="11548" width="0" style="60" hidden="1" customWidth="1"/>
    <col min="11549" max="11549" width="9.140625" style="60"/>
    <col min="11550" max="11550" width="12.28515625" style="60" bestFit="1" customWidth="1"/>
    <col min="11551" max="11776" width="9.140625" style="60"/>
    <col min="11777" max="11777" width="7.140625" style="60" customWidth="1"/>
    <col min="11778" max="11778" width="51.5703125" style="60" customWidth="1"/>
    <col min="11779" max="11784" width="10.42578125" style="60" customWidth="1"/>
    <col min="11785" max="11785" width="8.7109375" style="60" customWidth="1"/>
    <col min="11786" max="11786" width="58.140625" style="60" customWidth="1"/>
    <col min="11787" max="11789" width="12" style="60" customWidth="1"/>
    <col min="11790" max="11795" width="12.5703125" style="60" customWidth="1"/>
    <col min="11796" max="11804" width="0" style="60" hidden="1" customWidth="1"/>
    <col min="11805" max="11805" width="9.140625" style="60"/>
    <col min="11806" max="11806" width="12.28515625" style="60" bestFit="1" customWidth="1"/>
    <col min="11807" max="12032" width="9.140625" style="60"/>
    <col min="12033" max="12033" width="7.140625" style="60" customWidth="1"/>
    <col min="12034" max="12034" width="51.5703125" style="60" customWidth="1"/>
    <col min="12035" max="12040" width="10.42578125" style="60" customWidth="1"/>
    <col min="12041" max="12041" width="8.7109375" style="60" customWidth="1"/>
    <col min="12042" max="12042" width="58.140625" style="60" customWidth="1"/>
    <col min="12043" max="12045" width="12" style="60" customWidth="1"/>
    <col min="12046" max="12051" width="12.5703125" style="60" customWidth="1"/>
    <col min="12052" max="12060" width="0" style="60" hidden="1" customWidth="1"/>
    <col min="12061" max="12061" width="9.140625" style="60"/>
    <col min="12062" max="12062" width="12.28515625" style="60" bestFit="1" customWidth="1"/>
    <col min="12063" max="12288" width="9.140625" style="60"/>
    <col min="12289" max="12289" width="7.140625" style="60" customWidth="1"/>
    <col min="12290" max="12290" width="51.5703125" style="60" customWidth="1"/>
    <col min="12291" max="12296" width="10.42578125" style="60" customWidth="1"/>
    <col min="12297" max="12297" width="8.7109375" style="60" customWidth="1"/>
    <col min="12298" max="12298" width="58.140625" style="60" customWidth="1"/>
    <col min="12299" max="12301" width="12" style="60" customWidth="1"/>
    <col min="12302" max="12307" width="12.5703125" style="60" customWidth="1"/>
    <col min="12308" max="12316" width="0" style="60" hidden="1" customWidth="1"/>
    <col min="12317" max="12317" width="9.140625" style="60"/>
    <col min="12318" max="12318" width="12.28515625" style="60" bestFit="1" customWidth="1"/>
    <col min="12319" max="12544" width="9.140625" style="60"/>
    <col min="12545" max="12545" width="7.140625" style="60" customWidth="1"/>
    <col min="12546" max="12546" width="51.5703125" style="60" customWidth="1"/>
    <col min="12547" max="12552" width="10.42578125" style="60" customWidth="1"/>
    <col min="12553" max="12553" width="8.7109375" style="60" customWidth="1"/>
    <col min="12554" max="12554" width="58.140625" style="60" customWidth="1"/>
    <col min="12555" max="12557" width="12" style="60" customWidth="1"/>
    <col min="12558" max="12563" width="12.5703125" style="60" customWidth="1"/>
    <col min="12564" max="12572" width="0" style="60" hidden="1" customWidth="1"/>
    <col min="12573" max="12573" width="9.140625" style="60"/>
    <col min="12574" max="12574" width="12.28515625" style="60" bestFit="1" customWidth="1"/>
    <col min="12575" max="12800" width="9.140625" style="60"/>
    <col min="12801" max="12801" width="7.140625" style="60" customWidth="1"/>
    <col min="12802" max="12802" width="51.5703125" style="60" customWidth="1"/>
    <col min="12803" max="12808" width="10.42578125" style="60" customWidth="1"/>
    <col min="12809" max="12809" width="8.7109375" style="60" customWidth="1"/>
    <col min="12810" max="12810" width="58.140625" style="60" customWidth="1"/>
    <col min="12811" max="12813" width="12" style="60" customWidth="1"/>
    <col min="12814" max="12819" width="12.5703125" style="60" customWidth="1"/>
    <col min="12820" max="12828" width="0" style="60" hidden="1" customWidth="1"/>
    <col min="12829" max="12829" width="9.140625" style="60"/>
    <col min="12830" max="12830" width="12.28515625" style="60" bestFit="1" customWidth="1"/>
    <col min="12831" max="13056" width="9.140625" style="60"/>
    <col min="13057" max="13057" width="7.140625" style="60" customWidth="1"/>
    <col min="13058" max="13058" width="51.5703125" style="60" customWidth="1"/>
    <col min="13059" max="13064" width="10.42578125" style="60" customWidth="1"/>
    <col min="13065" max="13065" width="8.7109375" style="60" customWidth="1"/>
    <col min="13066" max="13066" width="58.140625" style="60" customWidth="1"/>
    <col min="13067" max="13069" width="12" style="60" customWidth="1"/>
    <col min="13070" max="13075" width="12.5703125" style="60" customWidth="1"/>
    <col min="13076" max="13084" width="0" style="60" hidden="1" customWidth="1"/>
    <col min="13085" max="13085" width="9.140625" style="60"/>
    <col min="13086" max="13086" width="12.28515625" style="60" bestFit="1" customWidth="1"/>
    <col min="13087" max="13312" width="9.140625" style="60"/>
    <col min="13313" max="13313" width="7.140625" style="60" customWidth="1"/>
    <col min="13314" max="13314" width="51.5703125" style="60" customWidth="1"/>
    <col min="13315" max="13320" width="10.42578125" style="60" customWidth="1"/>
    <col min="13321" max="13321" width="8.7109375" style="60" customWidth="1"/>
    <col min="13322" max="13322" width="58.140625" style="60" customWidth="1"/>
    <col min="13323" max="13325" width="12" style="60" customWidth="1"/>
    <col min="13326" max="13331" width="12.5703125" style="60" customWidth="1"/>
    <col min="13332" max="13340" width="0" style="60" hidden="1" customWidth="1"/>
    <col min="13341" max="13341" width="9.140625" style="60"/>
    <col min="13342" max="13342" width="12.28515625" style="60" bestFit="1" customWidth="1"/>
    <col min="13343" max="13568" width="9.140625" style="60"/>
    <col min="13569" max="13569" width="7.140625" style="60" customWidth="1"/>
    <col min="13570" max="13570" width="51.5703125" style="60" customWidth="1"/>
    <col min="13571" max="13576" width="10.42578125" style="60" customWidth="1"/>
    <col min="13577" max="13577" width="8.7109375" style="60" customWidth="1"/>
    <col min="13578" max="13578" width="58.140625" style="60" customWidth="1"/>
    <col min="13579" max="13581" width="12" style="60" customWidth="1"/>
    <col min="13582" max="13587" width="12.5703125" style="60" customWidth="1"/>
    <col min="13588" max="13596" width="0" style="60" hidden="1" customWidth="1"/>
    <col min="13597" max="13597" width="9.140625" style="60"/>
    <col min="13598" max="13598" width="12.28515625" style="60" bestFit="1" customWidth="1"/>
    <col min="13599" max="13824" width="9.140625" style="60"/>
    <col min="13825" max="13825" width="7.140625" style="60" customWidth="1"/>
    <col min="13826" max="13826" width="51.5703125" style="60" customWidth="1"/>
    <col min="13827" max="13832" width="10.42578125" style="60" customWidth="1"/>
    <col min="13833" max="13833" width="8.7109375" style="60" customWidth="1"/>
    <col min="13834" max="13834" width="58.140625" style="60" customWidth="1"/>
    <col min="13835" max="13837" width="12" style="60" customWidth="1"/>
    <col min="13838" max="13843" width="12.5703125" style="60" customWidth="1"/>
    <col min="13844" max="13852" width="0" style="60" hidden="1" customWidth="1"/>
    <col min="13853" max="13853" width="9.140625" style="60"/>
    <col min="13854" max="13854" width="12.28515625" style="60" bestFit="1" customWidth="1"/>
    <col min="13855" max="14080" width="9.140625" style="60"/>
    <col min="14081" max="14081" width="7.140625" style="60" customWidth="1"/>
    <col min="14082" max="14082" width="51.5703125" style="60" customWidth="1"/>
    <col min="14083" max="14088" width="10.42578125" style="60" customWidth="1"/>
    <col min="14089" max="14089" width="8.7109375" style="60" customWidth="1"/>
    <col min="14090" max="14090" width="58.140625" style="60" customWidth="1"/>
    <col min="14091" max="14093" width="12" style="60" customWidth="1"/>
    <col min="14094" max="14099" width="12.5703125" style="60" customWidth="1"/>
    <col min="14100" max="14108" width="0" style="60" hidden="1" customWidth="1"/>
    <col min="14109" max="14109" width="9.140625" style="60"/>
    <col min="14110" max="14110" width="12.28515625" style="60" bestFit="1" customWidth="1"/>
    <col min="14111" max="14336" width="9.140625" style="60"/>
    <col min="14337" max="14337" width="7.140625" style="60" customWidth="1"/>
    <col min="14338" max="14338" width="51.5703125" style="60" customWidth="1"/>
    <col min="14339" max="14344" width="10.42578125" style="60" customWidth="1"/>
    <col min="14345" max="14345" width="8.7109375" style="60" customWidth="1"/>
    <col min="14346" max="14346" width="58.140625" style="60" customWidth="1"/>
    <col min="14347" max="14349" width="12" style="60" customWidth="1"/>
    <col min="14350" max="14355" width="12.5703125" style="60" customWidth="1"/>
    <col min="14356" max="14364" width="0" style="60" hidden="1" customWidth="1"/>
    <col min="14365" max="14365" width="9.140625" style="60"/>
    <col min="14366" max="14366" width="12.28515625" style="60" bestFit="1" customWidth="1"/>
    <col min="14367" max="14592" width="9.140625" style="60"/>
    <col min="14593" max="14593" width="7.140625" style="60" customWidth="1"/>
    <col min="14594" max="14594" width="51.5703125" style="60" customWidth="1"/>
    <col min="14595" max="14600" width="10.42578125" style="60" customWidth="1"/>
    <col min="14601" max="14601" width="8.7109375" style="60" customWidth="1"/>
    <col min="14602" max="14602" width="58.140625" style="60" customWidth="1"/>
    <col min="14603" max="14605" width="12" style="60" customWidth="1"/>
    <col min="14606" max="14611" width="12.5703125" style="60" customWidth="1"/>
    <col min="14612" max="14620" width="0" style="60" hidden="1" customWidth="1"/>
    <col min="14621" max="14621" width="9.140625" style="60"/>
    <col min="14622" max="14622" width="12.28515625" style="60" bestFit="1" customWidth="1"/>
    <col min="14623" max="14848" width="9.140625" style="60"/>
    <col min="14849" max="14849" width="7.140625" style="60" customWidth="1"/>
    <col min="14850" max="14850" width="51.5703125" style="60" customWidth="1"/>
    <col min="14851" max="14856" width="10.42578125" style="60" customWidth="1"/>
    <col min="14857" max="14857" width="8.7109375" style="60" customWidth="1"/>
    <col min="14858" max="14858" width="58.140625" style="60" customWidth="1"/>
    <col min="14859" max="14861" width="12" style="60" customWidth="1"/>
    <col min="14862" max="14867" width="12.5703125" style="60" customWidth="1"/>
    <col min="14868" max="14876" width="0" style="60" hidden="1" customWidth="1"/>
    <col min="14877" max="14877" width="9.140625" style="60"/>
    <col min="14878" max="14878" width="12.28515625" style="60" bestFit="1" customWidth="1"/>
    <col min="14879" max="15104" width="9.140625" style="60"/>
    <col min="15105" max="15105" width="7.140625" style="60" customWidth="1"/>
    <col min="15106" max="15106" width="51.5703125" style="60" customWidth="1"/>
    <col min="15107" max="15112" width="10.42578125" style="60" customWidth="1"/>
    <col min="15113" max="15113" width="8.7109375" style="60" customWidth="1"/>
    <col min="15114" max="15114" width="58.140625" style="60" customWidth="1"/>
    <col min="15115" max="15117" width="12" style="60" customWidth="1"/>
    <col min="15118" max="15123" width="12.5703125" style="60" customWidth="1"/>
    <col min="15124" max="15132" width="0" style="60" hidden="1" customWidth="1"/>
    <col min="15133" max="15133" width="9.140625" style="60"/>
    <col min="15134" max="15134" width="12.28515625" style="60" bestFit="1" customWidth="1"/>
    <col min="15135" max="15360" width="9.140625" style="60"/>
    <col min="15361" max="15361" width="7.140625" style="60" customWidth="1"/>
    <col min="15362" max="15362" width="51.5703125" style="60" customWidth="1"/>
    <col min="15363" max="15368" width="10.42578125" style="60" customWidth="1"/>
    <col min="15369" max="15369" width="8.7109375" style="60" customWidth="1"/>
    <col min="15370" max="15370" width="58.140625" style="60" customWidth="1"/>
    <col min="15371" max="15373" width="12" style="60" customWidth="1"/>
    <col min="15374" max="15379" width="12.5703125" style="60" customWidth="1"/>
    <col min="15380" max="15388" width="0" style="60" hidden="1" customWidth="1"/>
    <col min="15389" max="15389" width="9.140625" style="60"/>
    <col min="15390" max="15390" width="12.28515625" style="60" bestFit="1" customWidth="1"/>
    <col min="15391" max="15616" width="9.140625" style="60"/>
    <col min="15617" max="15617" width="7.140625" style="60" customWidth="1"/>
    <col min="15618" max="15618" width="51.5703125" style="60" customWidth="1"/>
    <col min="15619" max="15624" width="10.42578125" style="60" customWidth="1"/>
    <col min="15625" max="15625" width="8.7109375" style="60" customWidth="1"/>
    <col min="15626" max="15626" width="58.140625" style="60" customWidth="1"/>
    <col min="15627" max="15629" width="12" style="60" customWidth="1"/>
    <col min="15630" max="15635" width="12.5703125" style="60" customWidth="1"/>
    <col min="15636" max="15644" width="0" style="60" hidden="1" customWidth="1"/>
    <col min="15645" max="15645" width="9.140625" style="60"/>
    <col min="15646" max="15646" width="12.28515625" style="60" bestFit="1" customWidth="1"/>
    <col min="15647" max="15872" width="9.140625" style="60"/>
    <col min="15873" max="15873" width="7.140625" style="60" customWidth="1"/>
    <col min="15874" max="15874" width="51.5703125" style="60" customWidth="1"/>
    <col min="15875" max="15880" width="10.42578125" style="60" customWidth="1"/>
    <col min="15881" max="15881" width="8.7109375" style="60" customWidth="1"/>
    <col min="15882" max="15882" width="58.140625" style="60" customWidth="1"/>
    <col min="15883" max="15885" width="12" style="60" customWidth="1"/>
    <col min="15886" max="15891" width="12.5703125" style="60" customWidth="1"/>
    <col min="15892" max="15900" width="0" style="60" hidden="1" customWidth="1"/>
    <col min="15901" max="15901" width="9.140625" style="60"/>
    <col min="15902" max="15902" width="12.28515625" style="60" bestFit="1" customWidth="1"/>
    <col min="15903" max="16128" width="9.140625" style="60"/>
    <col min="16129" max="16129" width="7.140625" style="60" customWidth="1"/>
    <col min="16130" max="16130" width="51.5703125" style="60" customWidth="1"/>
    <col min="16131" max="16136" width="10.42578125" style="60" customWidth="1"/>
    <col min="16137" max="16137" width="8.7109375" style="60" customWidth="1"/>
    <col min="16138" max="16138" width="58.140625" style="60" customWidth="1"/>
    <col min="16139" max="16141" width="12" style="60" customWidth="1"/>
    <col min="16142" max="16147" width="12.5703125" style="60" customWidth="1"/>
    <col min="16148" max="16156" width="0" style="60" hidden="1" customWidth="1"/>
    <col min="16157" max="16157" width="9.140625" style="60"/>
    <col min="16158" max="16158" width="12.28515625" style="60" bestFit="1" customWidth="1"/>
    <col min="16159" max="16384" width="9.140625" style="60"/>
  </cols>
  <sheetData>
    <row r="1" spans="1:28" ht="34.5" customHeight="1" x14ac:dyDescent="0.25">
      <c r="A1" s="259" t="s">
        <v>1099</v>
      </c>
      <c r="B1" s="259"/>
      <c r="C1" s="259"/>
      <c r="D1" s="259"/>
      <c r="E1" s="259"/>
      <c r="F1" s="259"/>
      <c r="G1" s="259"/>
      <c r="H1" s="259"/>
      <c r="I1" s="259"/>
      <c r="J1" s="259"/>
      <c r="K1" s="259"/>
      <c r="L1" s="259"/>
      <c r="M1" s="259"/>
      <c r="N1" s="259"/>
      <c r="O1" s="259"/>
      <c r="P1" s="259"/>
      <c r="Q1" s="259"/>
      <c r="R1" s="259"/>
      <c r="S1" s="259"/>
    </row>
    <row r="2" spans="1:28" x14ac:dyDescent="0.25">
      <c r="A2" s="60"/>
      <c r="C2" s="260"/>
      <c r="D2" s="260"/>
      <c r="E2" s="260"/>
      <c r="K2" s="261"/>
      <c r="L2" s="261"/>
      <c r="M2" s="261"/>
      <c r="N2" s="262" t="s">
        <v>655</v>
      </c>
      <c r="O2" s="262"/>
      <c r="P2" s="262"/>
      <c r="Q2" s="72"/>
      <c r="R2" s="72"/>
      <c r="S2" s="72"/>
    </row>
    <row r="3" spans="1:28" ht="24" customHeight="1" x14ac:dyDescent="0.25">
      <c r="A3" s="258" t="s">
        <v>0</v>
      </c>
      <c r="B3" s="230" t="s">
        <v>1</v>
      </c>
      <c r="C3" s="255" t="s">
        <v>758</v>
      </c>
      <c r="D3" s="256"/>
      <c r="E3" s="256"/>
      <c r="F3" s="258" t="s">
        <v>759</v>
      </c>
      <c r="G3" s="258"/>
      <c r="H3" s="258"/>
      <c r="I3" s="258" t="s">
        <v>0</v>
      </c>
      <c r="J3" s="230" t="s">
        <v>1</v>
      </c>
      <c r="K3" s="255" t="s">
        <v>864</v>
      </c>
      <c r="L3" s="256"/>
      <c r="M3" s="256"/>
      <c r="N3" s="258" t="s">
        <v>946</v>
      </c>
      <c r="O3" s="258"/>
      <c r="P3" s="258"/>
      <c r="Q3" s="258" t="s">
        <v>760</v>
      </c>
      <c r="R3" s="258"/>
      <c r="S3" s="258"/>
    </row>
    <row r="4" spans="1:28" ht="24" customHeight="1" x14ac:dyDescent="0.25">
      <c r="A4" s="258"/>
      <c r="B4" s="230"/>
      <c r="C4" s="62" t="s">
        <v>3</v>
      </c>
      <c r="D4" s="62" t="s">
        <v>4</v>
      </c>
      <c r="E4" s="62" t="s">
        <v>5</v>
      </c>
      <c r="F4" s="62" t="s">
        <v>3</v>
      </c>
      <c r="G4" s="62" t="s">
        <v>4</v>
      </c>
      <c r="H4" s="62" t="s">
        <v>5</v>
      </c>
      <c r="I4" s="258"/>
      <c r="J4" s="230"/>
      <c r="K4" s="62" t="s">
        <v>3</v>
      </c>
      <c r="L4" s="62" t="s">
        <v>4</v>
      </c>
      <c r="M4" s="81" t="s">
        <v>5</v>
      </c>
      <c r="N4" s="62" t="s">
        <v>3</v>
      </c>
      <c r="O4" s="62" t="s">
        <v>4</v>
      </c>
      <c r="P4" s="62" t="s">
        <v>5</v>
      </c>
      <c r="Q4" s="62" t="s">
        <v>3</v>
      </c>
      <c r="R4" s="62" t="s">
        <v>4</v>
      </c>
      <c r="S4" s="62" t="s">
        <v>5</v>
      </c>
    </row>
    <row r="5" spans="1:28" ht="84.6" hidden="1" customHeight="1" x14ac:dyDescent="0.25">
      <c r="A5" s="252" t="s">
        <v>761</v>
      </c>
      <c r="B5" s="253"/>
      <c r="C5" s="253"/>
      <c r="D5" s="253"/>
      <c r="E5" s="253"/>
      <c r="F5" s="253"/>
      <c r="G5" s="253"/>
      <c r="H5" s="254"/>
      <c r="I5" s="255" t="s">
        <v>75</v>
      </c>
      <c r="J5" s="256"/>
      <c r="K5" s="256"/>
      <c r="L5" s="256"/>
      <c r="M5" s="256"/>
      <c r="N5" s="256"/>
      <c r="O5" s="256"/>
      <c r="P5" s="257"/>
      <c r="Q5" s="258"/>
      <c r="R5" s="258"/>
      <c r="S5" s="258"/>
    </row>
    <row r="6" spans="1:28" ht="60.75" customHeight="1" x14ac:dyDescent="0.25">
      <c r="A6" s="82" t="s">
        <v>77</v>
      </c>
      <c r="B6" s="63" t="s">
        <v>76</v>
      </c>
      <c r="C6" s="64"/>
      <c r="D6" s="64"/>
      <c r="E6" s="64"/>
      <c r="F6" s="64"/>
      <c r="G6" s="64"/>
      <c r="H6" s="64"/>
      <c r="I6" s="82" t="s">
        <v>7</v>
      </c>
      <c r="J6" s="63" t="s">
        <v>76</v>
      </c>
      <c r="K6" s="64"/>
      <c r="L6" s="64"/>
      <c r="M6" s="64"/>
      <c r="N6" s="64"/>
      <c r="O6" s="64"/>
      <c r="P6" s="64"/>
      <c r="Q6" s="64"/>
      <c r="R6" s="64"/>
      <c r="S6" s="64"/>
    </row>
    <row r="7" spans="1:28" ht="56.25" x14ac:dyDescent="0.25">
      <c r="A7" s="82">
        <v>1</v>
      </c>
      <c r="B7" s="63" t="s">
        <v>78</v>
      </c>
      <c r="C7" s="64"/>
      <c r="D7" s="64"/>
      <c r="E7" s="64"/>
      <c r="F7" s="64"/>
      <c r="G7" s="64"/>
      <c r="H7" s="64"/>
      <c r="I7" s="82">
        <v>1</v>
      </c>
      <c r="J7" s="63" t="s">
        <v>78</v>
      </c>
      <c r="K7" s="64"/>
      <c r="L7" s="64"/>
      <c r="M7" s="64"/>
      <c r="N7" s="64"/>
      <c r="O7" s="64"/>
      <c r="P7" s="64"/>
      <c r="Q7" s="64"/>
      <c r="R7" s="64"/>
      <c r="S7" s="64"/>
    </row>
    <row r="8" spans="1:28" ht="75" x14ac:dyDescent="0.25">
      <c r="A8" s="64" t="s">
        <v>8</v>
      </c>
      <c r="B8" s="65" t="s">
        <v>79</v>
      </c>
      <c r="C8" s="66">
        <v>2300</v>
      </c>
      <c r="D8" s="66">
        <v>920</v>
      </c>
      <c r="E8" s="66">
        <v>690</v>
      </c>
      <c r="F8" s="66">
        <f>C8*70%</f>
        <v>1610</v>
      </c>
      <c r="G8" s="66">
        <f>D8*70%</f>
        <v>644</v>
      </c>
      <c r="H8" s="66">
        <f>E8*70%</f>
        <v>482.99999999999994</v>
      </c>
      <c r="I8" s="64" t="s">
        <v>8</v>
      </c>
      <c r="J8" s="65" t="s">
        <v>79</v>
      </c>
      <c r="K8" s="66">
        <f>2300*1.1</f>
        <v>2530</v>
      </c>
      <c r="L8" s="66">
        <f>920*1.1</f>
        <v>1012.0000000000001</v>
      </c>
      <c r="M8" s="66">
        <f>690*1.1</f>
        <v>759.00000000000011</v>
      </c>
      <c r="N8" s="66">
        <f>K8*70%</f>
        <v>1771</v>
      </c>
      <c r="O8" s="66">
        <f>L8*70%</f>
        <v>708.40000000000009</v>
      </c>
      <c r="P8" s="66">
        <f>M8*70%</f>
        <v>531.30000000000007</v>
      </c>
      <c r="Q8" s="66">
        <f>(N8/F8)*100-100</f>
        <v>10.000000000000014</v>
      </c>
      <c r="R8" s="66">
        <f>(O8/G8)*100-100</f>
        <v>10.000000000000014</v>
      </c>
      <c r="S8" s="66">
        <f>(P8/H8)*100-100</f>
        <v>10.000000000000028</v>
      </c>
      <c r="Y8" s="67">
        <f>K8/C8</f>
        <v>1.1000000000000001</v>
      </c>
    </row>
    <row r="9" spans="1:28" ht="112.5" x14ac:dyDescent="0.25">
      <c r="A9" s="64" t="s">
        <v>9</v>
      </c>
      <c r="B9" s="65" t="s">
        <v>80</v>
      </c>
      <c r="C9" s="66">
        <v>2500</v>
      </c>
      <c r="D9" s="66">
        <v>1000</v>
      </c>
      <c r="E9" s="66">
        <v>750</v>
      </c>
      <c r="F9" s="66">
        <f t="shared" ref="F9:H68" si="0">C9*70%</f>
        <v>1750</v>
      </c>
      <c r="G9" s="66">
        <f t="shared" si="0"/>
        <v>700</v>
      </c>
      <c r="H9" s="66">
        <f>E9*70%</f>
        <v>525</v>
      </c>
      <c r="I9" s="64" t="s">
        <v>9</v>
      </c>
      <c r="J9" s="65" t="s">
        <v>80</v>
      </c>
      <c r="K9" s="66">
        <f>2500*1.1</f>
        <v>2750</v>
      </c>
      <c r="L9" s="66">
        <f>1000*1.1</f>
        <v>1100</v>
      </c>
      <c r="M9" s="66">
        <f>750*1.1</f>
        <v>825.00000000000011</v>
      </c>
      <c r="N9" s="66">
        <f t="shared" ref="N9:P68" si="1">K9*70%</f>
        <v>1924.9999999999998</v>
      </c>
      <c r="O9" s="66">
        <f t="shared" si="1"/>
        <v>770</v>
      </c>
      <c r="P9" s="66">
        <f t="shared" si="1"/>
        <v>577.5</v>
      </c>
      <c r="Q9" s="66">
        <f t="shared" ref="Q9:S68" si="2">(N9/F9)*100-100</f>
        <v>9.9999999999999858</v>
      </c>
      <c r="R9" s="66">
        <f t="shared" si="2"/>
        <v>10.000000000000014</v>
      </c>
      <c r="S9" s="66">
        <f t="shared" si="2"/>
        <v>10.000000000000014</v>
      </c>
      <c r="Y9" s="67">
        <f t="shared" ref="Y9:Y68" si="3">K9/C9</f>
        <v>1.1000000000000001</v>
      </c>
    </row>
    <row r="10" spans="1:28" ht="102" customHeight="1" x14ac:dyDescent="0.25">
      <c r="A10" s="64" t="s">
        <v>82</v>
      </c>
      <c r="B10" s="65" t="s">
        <v>81</v>
      </c>
      <c r="C10" s="66">
        <v>3000</v>
      </c>
      <c r="D10" s="66">
        <v>2400</v>
      </c>
      <c r="E10" s="66">
        <v>1900</v>
      </c>
      <c r="F10" s="66">
        <f>C10*70%</f>
        <v>2100</v>
      </c>
      <c r="G10" s="66">
        <f>D10*70%</f>
        <v>1680</v>
      </c>
      <c r="H10" s="66">
        <f>E10*70%</f>
        <v>1330</v>
      </c>
      <c r="I10" s="64" t="s">
        <v>82</v>
      </c>
      <c r="J10" s="65" t="s">
        <v>81</v>
      </c>
      <c r="K10" s="66">
        <f>3000*1.1</f>
        <v>3300.0000000000005</v>
      </c>
      <c r="L10" s="66">
        <f>2400*1.1</f>
        <v>2640</v>
      </c>
      <c r="M10" s="66">
        <f>1900*1.1</f>
        <v>2090</v>
      </c>
      <c r="N10" s="66">
        <f>K10*70%</f>
        <v>2310</v>
      </c>
      <c r="O10" s="66">
        <f>L10*70%</f>
        <v>1847.9999999999998</v>
      </c>
      <c r="P10" s="66">
        <f>M10*70%</f>
        <v>1463</v>
      </c>
      <c r="Q10" s="66">
        <f t="shared" si="2"/>
        <v>10.000000000000014</v>
      </c>
      <c r="R10" s="66">
        <f t="shared" si="2"/>
        <v>9.9999999999999858</v>
      </c>
      <c r="S10" s="66">
        <f t="shared" si="2"/>
        <v>10.000000000000014</v>
      </c>
      <c r="T10" s="68">
        <f>D10/C10*100</f>
        <v>80</v>
      </c>
      <c r="U10" s="68">
        <f>E10/C10*100</f>
        <v>63.333333333333329</v>
      </c>
      <c r="V10" s="67">
        <f>K10/C10</f>
        <v>1.1000000000000001</v>
      </c>
      <c r="Y10" s="67">
        <f t="shared" si="3"/>
        <v>1.1000000000000001</v>
      </c>
      <c r="Z10" s="73"/>
      <c r="AA10" s="73"/>
      <c r="AB10" s="73"/>
    </row>
    <row r="11" spans="1:28" ht="112.5" x14ac:dyDescent="0.25">
      <c r="A11" s="82">
        <v>2</v>
      </c>
      <c r="B11" s="63" t="s">
        <v>83</v>
      </c>
      <c r="C11" s="66"/>
      <c r="D11" s="66"/>
      <c r="E11" s="66"/>
      <c r="F11" s="66"/>
      <c r="G11" s="66"/>
      <c r="H11" s="66"/>
      <c r="I11" s="82">
        <v>2</v>
      </c>
      <c r="J11" s="63" t="s">
        <v>83</v>
      </c>
      <c r="K11" s="66"/>
      <c r="L11" s="66"/>
      <c r="M11" s="66"/>
      <c r="N11" s="66"/>
      <c r="O11" s="66"/>
      <c r="P11" s="66"/>
      <c r="Q11" s="66"/>
      <c r="R11" s="66"/>
      <c r="S11" s="66"/>
      <c r="Y11" s="67"/>
    </row>
    <row r="12" spans="1:28" ht="93.75" x14ac:dyDescent="0.25">
      <c r="A12" s="64" t="s">
        <v>85</v>
      </c>
      <c r="B12" s="65" t="s">
        <v>84</v>
      </c>
      <c r="C12" s="66">
        <v>3500</v>
      </c>
      <c r="D12" s="66">
        <v>1400</v>
      </c>
      <c r="E12" s="66">
        <v>1050</v>
      </c>
      <c r="F12" s="66">
        <f>C12*70%</f>
        <v>2450</v>
      </c>
      <c r="G12" s="66">
        <f t="shared" si="0"/>
        <v>979.99999999999989</v>
      </c>
      <c r="H12" s="66">
        <f t="shared" si="0"/>
        <v>735</v>
      </c>
      <c r="I12" s="64" t="s">
        <v>85</v>
      </c>
      <c r="J12" s="65" t="s">
        <v>84</v>
      </c>
      <c r="K12" s="66">
        <v>3850</v>
      </c>
      <c r="L12" s="66">
        <v>1540</v>
      </c>
      <c r="M12" s="66">
        <v>1155</v>
      </c>
      <c r="N12" s="66">
        <f>K12*70%</f>
        <v>2695</v>
      </c>
      <c r="O12" s="66">
        <f>L12*70%</f>
        <v>1078</v>
      </c>
      <c r="P12" s="66">
        <f>M12*70%</f>
        <v>808.5</v>
      </c>
      <c r="Q12" s="66">
        <f t="shared" si="2"/>
        <v>10.000000000000014</v>
      </c>
      <c r="R12" s="66">
        <f t="shared" si="2"/>
        <v>10.000000000000014</v>
      </c>
      <c r="S12" s="66">
        <f t="shared" si="2"/>
        <v>10.000000000000014</v>
      </c>
      <c r="T12" s="60">
        <f>D12/C12*100</f>
        <v>40</v>
      </c>
      <c r="U12" s="60">
        <f>E12/C12*100</f>
        <v>30</v>
      </c>
      <c r="V12" s="67">
        <f>K12/C12</f>
        <v>1.1000000000000001</v>
      </c>
      <c r="Y12" s="67">
        <f t="shared" si="3"/>
        <v>1.1000000000000001</v>
      </c>
    </row>
    <row r="13" spans="1:28" ht="93.75" x14ac:dyDescent="0.25">
      <c r="A13" s="64" t="s">
        <v>13</v>
      </c>
      <c r="B13" s="65" t="s">
        <v>86</v>
      </c>
      <c r="C13" s="66">
        <v>4000</v>
      </c>
      <c r="D13" s="66">
        <v>1600</v>
      </c>
      <c r="E13" s="66">
        <v>1200</v>
      </c>
      <c r="F13" s="66">
        <f t="shared" si="0"/>
        <v>2800</v>
      </c>
      <c r="G13" s="66">
        <f t="shared" si="0"/>
        <v>1120</v>
      </c>
      <c r="H13" s="66">
        <f t="shared" si="0"/>
        <v>840</v>
      </c>
      <c r="I13" s="64" t="s">
        <v>13</v>
      </c>
      <c r="J13" s="65" t="s">
        <v>86</v>
      </c>
      <c r="K13" s="66">
        <f>4000*1.1</f>
        <v>4400</v>
      </c>
      <c r="L13" s="66">
        <f>1600*1.1</f>
        <v>1760.0000000000002</v>
      </c>
      <c r="M13" s="66">
        <f>1200*1.1</f>
        <v>1320</v>
      </c>
      <c r="N13" s="66">
        <f t="shared" si="1"/>
        <v>3080</v>
      </c>
      <c r="O13" s="66">
        <f t="shared" si="1"/>
        <v>1232</v>
      </c>
      <c r="P13" s="66">
        <f t="shared" si="1"/>
        <v>923.99999999999989</v>
      </c>
      <c r="Q13" s="66">
        <f t="shared" si="2"/>
        <v>10.000000000000014</v>
      </c>
      <c r="R13" s="66">
        <f t="shared" si="2"/>
        <v>10.000000000000014</v>
      </c>
      <c r="S13" s="66">
        <f t="shared" si="2"/>
        <v>9.9999999999999858</v>
      </c>
      <c r="Y13" s="67">
        <f t="shared" si="3"/>
        <v>1.1000000000000001</v>
      </c>
    </row>
    <row r="14" spans="1:28" ht="75" x14ac:dyDescent="0.25">
      <c r="A14" s="82">
        <v>3</v>
      </c>
      <c r="B14" s="63" t="s">
        <v>87</v>
      </c>
      <c r="C14" s="66"/>
      <c r="D14" s="66"/>
      <c r="E14" s="66"/>
      <c r="F14" s="66"/>
      <c r="G14" s="66"/>
      <c r="H14" s="66"/>
      <c r="I14" s="82">
        <v>3</v>
      </c>
      <c r="J14" s="63" t="s">
        <v>87</v>
      </c>
      <c r="K14" s="66"/>
      <c r="L14" s="66"/>
      <c r="M14" s="66"/>
      <c r="N14" s="66"/>
      <c r="O14" s="66"/>
      <c r="P14" s="66"/>
      <c r="Q14" s="66"/>
      <c r="R14" s="66"/>
      <c r="S14" s="66"/>
      <c r="Y14" s="67"/>
    </row>
    <row r="15" spans="1:28" ht="93.75" x14ac:dyDescent="0.25">
      <c r="A15" s="64" t="s">
        <v>15</v>
      </c>
      <c r="B15" s="65" t="s">
        <v>88</v>
      </c>
      <c r="C15" s="66">
        <v>4500</v>
      </c>
      <c r="D15" s="66">
        <v>1960</v>
      </c>
      <c r="E15" s="66">
        <v>1350</v>
      </c>
      <c r="F15" s="66">
        <f t="shared" si="0"/>
        <v>3150</v>
      </c>
      <c r="G15" s="66">
        <f t="shared" si="0"/>
        <v>1372</v>
      </c>
      <c r="H15" s="66">
        <f t="shared" si="0"/>
        <v>944.99999999999989</v>
      </c>
      <c r="I15" s="64" t="s">
        <v>15</v>
      </c>
      <c r="J15" s="65" t="s">
        <v>762</v>
      </c>
      <c r="K15" s="66">
        <f>4500*1.1</f>
        <v>4950</v>
      </c>
      <c r="L15" s="66">
        <f>1960*1.1</f>
        <v>2156</v>
      </c>
      <c r="M15" s="66">
        <f>1350*1.1</f>
        <v>1485.0000000000002</v>
      </c>
      <c r="N15" s="66">
        <f t="shared" si="1"/>
        <v>3465</v>
      </c>
      <c r="O15" s="66">
        <f t="shared" si="1"/>
        <v>1509.1999999999998</v>
      </c>
      <c r="P15" s="66">
        <f t="shared" si="1"/>
        <v>1039.5</v>
      </c>
      <c r="Q15" s="66">
        <f t="shared" si="2"/>
        <v>10.000000000000014</v>
      </c>
      <c r="R15" s="66">
        <f t="shared" si="2"/>
        <v>9.9999999999999858</v>
      </c>
      <c r="S15" s="66">
        <f t="shared" si="2"/>
        <v>10.000000000000014</v>
      </c>
      <c r="Y15" s="67">
        <f t="shared" si="3"/>
        <v>1.1000000000000001</v>
      </c>
    </row>
    <row r="16" spans="1:28" ht="112.5" x14ac:dyDescent="0.25">
      <c r="A16" s="64" t="s">
        <v>16</v>
      </c>
      <c r="B16" s="65" t="s">
        <v>89</v>
      </c>
      <c r="C16" s="66">
        <v>4600</v>
      </c>
      <c r="D16" s="66">
        <v>2380</v>
      </c>
      <c r="E16" s="66">
        <v>1380</v>
      </c>
      <c r="F16" s="66">
        <f t="shared" si="0"/>
        <v>3220</v>
      </c>
      <c r="G16" s="66">
        <f t="shared" si="0"/>
        <v>1666</v>
      </c>
      <c r="H16" s="66">
        <f t="shared" si="0"/>
        <v>965.99999999999989</v>
      </c>
      <c r="I16" s="64" t="s">
        <v>16</v>
      </c>
      <c r="J16" s="65" t="s">
        <v>89</v>
      </c>
      <c r="K16" s="66">
        <f>4600*1.1</f>
        <v>5060</v>
      </c>
      <c r="L16" s="66">
        <f>2380*1.1</f>
        <v>2618</v>
      </c>
      <c r="M16" s="66">
        <f>1380*1.1</f>
        <v>1518.0000000000002</v>
      </c>
      <c r="N16" s="66">
        <f t="shared" si="1"/>
        <v>3542</v>
      </c>
      <c r="O16" s="66">
        <f t="shared" si="1"/>
        <v>1832.6</v>
      </c>
      <c r="P16" s="66">
        <f t="shared" si="1"/>
        <v>1062.6000000000001</v>
      </c>
      <c r="Q16" s="66">
        <f t="shared" si="2"/>
        <v>10.000000000000014</v>
      </c>
      <c r="R16" s="66">
        <f t="shared" si="2"/>
        <v>9.9999999999999858</v>
      </c>
      <c r="S16" s="66">
        <f t="shared" si="2"/>
        <v>10.000000000000028</v>
      </c>
      <c r="Y16" s="67">
        <f t="shared" si="3"/>
        <v>1.1000000000000001</v>
      </c>
    </row>
    <row r="17" spans="1:25" ht="37.5" hidden="1" x14ac:dyDescent="0.25">
      <c r="A17" s="82">
        <v>4</v>
      </c>
      <c r="B17" s="63" t="s">
        <v>90</v>
      </c>
      <c r="C17" s="66">
        <v>5000</v>
      </c>
      <c r="D17" s="66">
        <v>2000</v>
      </c>
      <c r="E17" s="66">
        <v>1500</v>
      </c>
      <c r="F17" s="66">
        <f t="shared" si="0"/>
        <v>3500</v>
      </c>
      <c r="G17" s="66">
        <f>D17*70%</f>
        <v>1400</v>
      </c>
      <c r="H17" s="66">
        <f t="shared" si="0"/>
        <v>1050</v>
      </c>
      <c r="I17" s="82"/>
      <c r="J17" s="63"/>
      <c r="K17" s="66"/>
      <c r="L17" s="66"/>
      <c r="M17" s="66"/>
      <c r="N17" s="66"/>
      <c r="O17" s="66"/>
      <c r="P17" s="66"/>
      <c r="Q17" s="66"/>
      <c r="R17" s="66"/>
      <c r="S17" s="66"/>
      <c r="T17" s="60" t="s">
        <v>91</v>
      </c>
      <c r="Y17" s="67">
        <f>K17/C17</f>
        <v>0</v>
      </c>
    </row>
    <row r="18" spans="1:25" ht="112.5" x14ac:dyDescent="0.25">
      <c r="A18" s="82">
        <v>5</v>
      </c>
      <c r="B18" s="63" t="s">
        <v>92</v>
      </c>
      <c r="C18" s="66"/>
      <c r="D18" s="66"/>
      <c r="E18" s="66"/>
      <c r="F18" s="66"/>
      <c r="G18" s="66"/>
      <c r="H18" s="66"/>
      <c r="I18" s="82">
        <v>4</v>
      </c>
      <c r="J18" s="63" t="s">
        <v>92</v>
      </c>
      <c r="K18" s="66"/>
      <c r="L18" s="66"/>
      <c r="M18" s="66"/>
      <c r="N18" s="66"/>
      <c r="O18" s="66"/>
      <c r="P18" s="66"/>
      <c r="Q18" s="66"/>
      <c r="R18" s="66"/>
      <c r="S18" s="66"/>
      <c r="Y18" s="67"/>
    </row>
    <row r="19" spans="1:25" ht="112.5" x14ac:dyDescent="0.25">
      <c r="A19" s="64" t="s">
        <v>19</v>
      </c>
      <c r="B19" s="65" t="s">
        <v>93</v>
      </c>
      <c r="C19" s="66">
        <v>4550</v>
      </c>
      <c r="D19" s="66">
        <v>1820</v>
      </c>
      <c r="E19" s="66">
        <v>1365</v>
      </c>
      <c r="F19" s="66">
        <f t="shared" si="0"/>
        <v>3185</v>
      </c>
      <c r="G19" s="66">
        <f t="shared" si="0"/>
        <v>1274</v>
      </c>
      <c r="H19" s="66">
        <f t="shared" si="0"/>
        <v>955.49999999999989</v>
      </c>
      <c r="I19" s="64" t="s">
        <v>10</v>
      </c>
      <c r="J19" s="65" t="s">
        <v>93</v>
      </c>
      <c r="K19" s="66">
        <f>4550*1.1</f>
        <v>5005</v>
      </c>
      <c r="L19" s="66">
        <f>1820*1.1</f>
        <v>2002.0000000000002</v>
      </c>
      <c r="M19" s="66">
        <f>1365*1.1</f>
        <v>1501.5000000000002</v>
      </c>
      <c r="N19" s="66">
        <f t="shared" si="1"/>
        <v>3503.5</v>
      </c>
      <c r="O19" s="66">
        <f t="shared" si="1"/>
        <v>1401.4</v>
      </c>
      <c r="P19" s="66">
        <f t="shared" si="1"/>
        <v>1051.0500000000002</v>
      </c>
      <c r="Q19" s="66">
        <f t="shared" si="2"/>
        <v>10.000000000000014</v>
      </c>
      <c r="R19" s="66">
        <f t="shared" si="2"/>
        <v>10.000000000000014</v>
      </c>
      <c r="S19" s="66">
        <f t="shared" si="2"/>
        <v>10.000000000000028</v>
      </c>
      <c r="Y19" s="67">
        <f t="shared" si="3"/>
        <v>1.1000000000000001</v>
      </c>
    </row>
    <row r="20" spans="1:25" ht="93.75" x14ac:dyDescent="0.25">
      <c r="A20" s="64" t="s">
        <v>20</v>
      </c>
      <c r="B20" s="65" t="s">
        <v>94</v>
      </c>
      <c r="C20" s="66">
        <v>3200</v>
      </c>
      <c r="D20" s="66">
        <v>1280</v>
      </c>
      <c r="E20" s="66">
        <v>960</v>
      </c>
      <c r="F20" s="66">
        <f t="shared" si="0"/>
        <v>2240</v>
      </c>
      <c r="G20" s="66">
        <f t="shared" si="0"/>
        <v>896</v>
      </c>
      <c r="H20" s="66">
        <f t="shared" si="0"/>
        <v>672</v>
      </c>
      <c r="I20" s="64" t="s">
        <v>11</v>
      </c>
      <c r="J20" s="65" t="s">
        <v>94</v>
      </c>
      <c r="K20" s="66">
        <f>3200*1.1</f>
        <v>3520.0000000000005</v>
      </c>
      <c r="L20" s="66">
        <f>1280*1.1</f>
        <v>1408</v>
      </c>
      <c r="M20" s="66">
        <f>960*1.1</f>
        <v>1056</v>
      </c>
      <c r="N20" s="66">
        <f t="shared" si="1"/>
        <v>2464</v>
      </c>
      <c r="O20" s="66">
        <f t="shared" si="1"/>
        <v>985.59999999999991</v>
      </c>
      <c r="P20" s="66">
        <f t="shared" si="1"/>
        <v>739.19999999999993</v>
      </c>
      <c r="Q20" s="66">
        <f t="shared" si="2"/>
        <v>10.000000000000014</v>
      </c>
      <c r="R20" s="66">
        <f t="shared" si="2"/>
        <v>9.9999999999999858</v>
      </c>
      <c r="S20" s="66">
        <f t="shared" si="2"/>
        <v>9.9999999999999858</v>
      </c>
      <c r="Y20" s="67">
        <f t="shared" si="3"/>
        <v>1.1000000000000001</v>
      </c>
    </row>
    <row r="21" spans="1:25" ht="75" x14ac:dyDescent="0.25">
      <c r="A21" s="82">
        <v>6</v>
      </c>
      <c r="B21" s="63" t="s">
        <v>95</v>
      </c>
      <c r="C21" s="66"/>
      <c r="D21" s="66"/>
      <c r="E21" s="66"/>
      <c r="F21" s="66"/>
      <c r="G21" s="66"/>
      <c r="H21" s="66"/>
      <c r="I21" s="82">
        <v>5</v>
      </c>
      <c r="J21" s="63" t="s">
        <v>95</v>
      </c>
      <c r="K21" s="66"/>
      <c r="L21" s="66"/>
      <c r="M21" s="66"/>
      <c r="N21" s="66"/>
      <c r="O21" s="66"/>
      <c r="P21" s="66"/>
      <c r="Q21" s="66"/>
      <c r="R21" s="66"/>
      <c r="S21" s="66"/>
      <c r="Y21" s="67"/>
    </row>
    <row r="22" spans="1:25" ht="79.5" customHeight="1" x14ac:dyDescent="0.25">
      <c r="A22" s="64" t="s">
        <v>22</v>
      </c>
      <c r="B22" s="65" t="s">
        <v>96</v>
      </c>
      <c r="C22" s="66">
        <v>2900</v>
      </c>
      <c r="D22" s="66">
        <v>1160</v>
      </c>
      <c r="E22" s="66">
        <v>870</v>
      </c>
      <c r="F22" s="66">
        <f t="shared" si="0"/>
        <v>2029.9999999999998</v>
      </c>
      <c r="G22" s="66">
        <f t="shared" si="0"/>
        <v>812</v>
      </c>
      <c r="H22" s="66">
        <f t="shared" si="0"/>
        <v>609</v>
      </c>
      <c r="I22" s="64" t="s">
        <v>19</v>
      </c>
      <c r="J22" s="65" t="s">
        <v>96</v>
      </c>
      <c r="K22" s="66">
        <f>2900*1.1</f>
        <v>3190.0000000000005</v>
      </c>
      <c r="L22" s="66">
        <f>1160*1.1</f>
        <v>1276</v>
      </c>
      <c r="M22" s="66">
        <f>870*1.1</f>
        <v>957.00000000000011</v>
      </c>
      <c r="N22" s="66">
        <f t="shared" si="1"/>
        <v>2233</v>
      </c>
      <c r="O22" s="66">
        <f t="shared" si="1"/>
        <v>893.19999999999993</v>
      </c>
      <c r="P22" s="66">
        <f t="shared" si="1"/>
        <v>669.90000000000009</v>
      </c>
      <c r="Q22" s="66">
        <f t="shared" si="2"/>
        <v>10.000000000000014</v>
      </c>
      <c r="R22" s="66">
        <f t="shared" si="2"/>
        <v>9.9999999999999858</v>
      </c>
      <c r="S22" s="66">
        <f t="shared" si="2"/>
        <v>10.000000000000014</v>
      </c>
      <c r="Y22" s="67">
        <f t="shared" si="3"/>
        <v>1.1000000000000001</v>
      </c>
    </row>
    <row r="23" spans="1:25" ht="61.5" customHeight="1" x14ac:dyDescent="0.25">
      <c r="A23" s="64" t="s">
        <v>23</v>
      </c>
      <c r="B23" s="65" t="s">
        <v>97</v>
      </c>
      <c r="C23" s="66">
        <v>2700</v>
      </c>
      <c r="D23" s="66">
        <v>1080</v>
      </c>
      <c r="E23" s="66">
        <v>810</v>
      </c>
      <c r="F23" s="66">
        <f t="shared" si="0"/>
        <v>1889.9999999999998</v>
      </c>
      <c r="G23" s="66">
        <f t="shared" si="0"/>
        <v>756</v>
      </c>
      <c r="H23" s="66">
        <f t="shared" si="0"/>
        <v>567</v>
      </c>
      <c r="I23" s="64" t="s">
        <v>20</v>
      </c>
      <c r="J23" s="65" t="s">
        <v>97</v>
      </c>
      <c r="K23" s="66">
        <f>2700*1.1</f>
        <v>2970.0000000000005</v>
      </c>
      <c r="L23" s="66">
        <f>1080*1.1</f>
        <v>1188</v>
      </c>
      <c r="M23" s="66">
        <f>810*1.1</f>
        <v>891.00000000000011</v>
      </c>
      <c r="N23" s="66">
        <f t="shared" si="1"/>
        <v>2079</v>
      </c>
      <c r="O23" s="66">
        <f t="shared" si="1"/>
        <v>831.59999999999991</v>
      </c>
      <c r="P23" s="66">
        <f t="shared" si="1"/>
        <v>623.70000000000005</v>
      </c>
      <c r="Q23" s="66">
        <f t="shared" si="2"/>
        <v>10.000000000000014</v>
      </c>
      <c r="R23" s="66">
        <f t="shared" si="2"/>
        <v>9.9999999999999858</v>
      </c>
      <c r="S23" s="66">
        <f t="shared" si="2"/>
        <v>10.000000000000014</v>
      </c>
      <c r="Y23" s="67">
        <f t="shared" si="3"/>
        <v>1.1000000000000001</v>
      </c>
    </row>
    <row r="24" spans="1:25" ht="37.5" x14ac:dyDescent="0.25">
      <c r="A24" s="64" t="s">
        <v>24</v>
      </c>
      <c r="B24" s="65" t="s">
        <v>98</v>
      </c>
      <c r="C24" s="66">
        <v>1500</v>
      </c>
      <c r="D24" s="66">
        <v>600</v>
      </c>
      <c r="E24" s="66">
        <v>450</v>
      </c>
      <c r="F24" s="66">
        <f t="shared" si="0"/>
        <v>1050</v>
      </c>
      <c r="G24" s="66">
        <f t="shared" si="0"/>
        <v>420</v>
      </c>
      <c r="H24" s="66">
        <f t="shared" si="0"/>
        <v>315</v>
      </c>
      <c r="I24" s="64" t="s">
        <v>865</v>
      </c>
      <c r="J24" s="65" t="s">
        <v>98</v>
      </c>
      <c r="K24" s="66">
        <f>1500*1.1</f>
        <v>1650.0000000000002</v>
      </c>
      <c r="L24" s="66">
        <f>600*1.1</f>
        <v>660</v>
      </c>
      <c r="M24" s="66">
        <f>450*1.1</f>
        <v>495.00000000000006</v>
      </c>
      <c r="N24" s="66">
        <f t="shared" si="1"/>
        <v>1155</v>
      </c>
      <c r="O24" s="66">
        <f t="shared" si="1"/>
        <v>461.99999999999994</v>
      </c>
      <c r="P24" s="66">
        <f t="shared" si="1"/>
        <v>346.5</v>
      </c>
      <c r="Q24" s="66">
        <f t="shared" si="2"/>
        <v>10.000000000000014</v>
      </c>
      <c r="R24" s="66">
        <f t="shared" si="2"/>
        <v>9.9999999999999858</v>
      </c>
      <c r="S24" s="66">
        <f t="shared" si="2"/>
        <v>10.000000000000014</v>
      </c>
      <c r="Y24" s="67">
        <f t="shared" si="3"/>
        <v>1.1000000000000001</v>
      </c>
    </row>
    <row r="25" spans="1:25" ht="56.25" x14ac:dyDescent="0.25">
      <c r="A25" s="82" t="s">
        <v>100</v>
      </c>
      <c r="B25" s="63" t="s">
        <v>99</v>
      </c>
      <c r="C25" s="66"/>
      <c r="D25" s="66"/>
      <c r="E25" s="66"/>
      <c r="F25" s="66"/>
      <c r="G25" s="66"/>
      <c r="H25" s="66"/>
      <c r="I25" s="82" t="s">
        <v>100</v>
      </c>
      <c r="J25" s="63" t="s">
        <v>99</v>
      </c>
      <c r="K25" s="66"/>
      <c r="L25" s="66"/>
      <c r="M25" s="66"/>
      <c r="N25" s="66"/>
      <c r="O25" s="66"/>
      <c r="P25" s="66"/>
      <c r="Q25" s="66"/>
      <c r="R25" s="66"/>
      <c r="S25" s="66"/>
      <c r="Y25" s="67"/>
    </row>
    <row r="26" spans="1:25" ht="56.25" x14ac:dyDescent="0.25">
      <c r="A26" s="82">
        <v>1</v>
      </c>
      <c r="B26" s="63" t="s">
        <v>101</v>
      </c>
      <c r="C26" s="66"/>
      <c r="D26" s="66"/>
      <c r="E26" s="66"/>
      <c r="F26" s="66"/>
      <c r="G26" s="66"/>
      <c r="H26" s="66"/>
      <c r="I26" s="82">
        <v>1</v>
      </c>
      <c r="J26" s="63" t="s">
        <v>101</v>
      </c>
      <c r="K26" s="66"/>
      <c r="L26" s="66"/>
      <c r="M26" s="66"/>
      <c r="N26" s="66"/>
      <c r="O26" s="66"/>
      <c r="P26" s="66"/>
      <c r="Q26" s="66"/>
      <c r="R26" s="66"/>
      <c r="S26" s="66"/>
      <c r="Y26" s="67"/>
    </row>
    <row r="27" spans="1:25" ht="75" x14ac:dyDescent="0.25">
      <c r="A27" s="64" t="s">
        <v>8</v>
      </c>
      <c r="B27" s="65" t="s">
        <v>102</v>
      </c>
      <c r="C27" s="66">
        <v>6300</v>
      </c>
      <c r="D27" s="66">
        <v>2650</v>
      </c>
      <c r="E27" s="66">
        <v>1890</v>
      </c>
      <c r="F27" s="66">
        <f t="shared" si="0"/>
        <v>4410</v>
      </c>
      <c r="G27" s="66">
        <f t="shared" si="0"/>
        <v>1854.9999999999998</v>
      </c>
      <c r="H27" s="66">
        <f t="shared" si="0"/>
        <v>1323</v>
      </c>
      <c r="I27" s="64" t="s">
        <v>8</v>
      </c>
      <c r="J27" s="65" t="s">
        <v>103</v>
      </c>
      <c r="K27" s="66">
        <f>6300*1.1</f>
        <v>6930.0000000000009</v>
      </c>
      <c r="L27" s="66">
        <f>2650*1.1</f>
        <v>2915.0000000000005</v>
      </c>
      <c r="M27" s="66">
        <f>1890*1.1</f>
        <v>2079</v>
      </c>
      <c r="N27" s="66">
        <f t="shared" si="1"/>
        <v>4851</v>
      </c>
      <c r="O27" s="66">
        <f t="shared" si="1"/>
        <v>2040.5000000000002</v>
      </c>
      <c r="P27" s="66">
        <f t="shared" si="1"/>
        <v>1455.3</v>
      </c>
      <c r="Q27" s="66">
        <f t="shared" si="2"/>
        <v>10.000000000000014</v>
      </c>
      <c r="R27" s="66">
        <f t="shared" si="2"/>
        <v>10.000000000000028</v>
      </c>
      <c r="S27" s="66">
        <f t="shared" si="2"/>
        <v>9.9999999999999858</v>
      </c>
      <c r="T27" s="74" t="s">
        <v>104</v>
      </c>
      <c r="Y27" s="67">
        <f t="shared" si="3"/>
        <v>1.1000000000000001</v>
      </c>
    </row>
    <row r="28" spans="1:25" ht="64.5" customHeight="1" x14ac:dyDescent="0.25">
      <c r="A28" s="64" t="s">
        <v>9</v>
      </c>
      <c r="B28" s="65" t="s">
        <v>105</v>
      </c>
      <c r="C28" s="66">
        <v>5900</v>
      </c>
      <c r="D28" s="66">
        <v>2350</v>
      </c>
      <c r="E28" s="66">
        <v>1770</v>
      </c>
      <c r="F28" s="66">
        <f t="shared" si="0"/>
        <v>4130</v>
      </c>
      <c r="G28" s="66">
        <f t="shared" si="0"/>
        <v>1645</v>
      </c>
      <c r="H28" s="66">
        <f t="shared" si="0"/>
        <v>1239</v>
      </c>
      <c r="I28" s="64" t="s">
        <v>9</v>
      </c>
      <c r="J28" s="65" t="s">
        <v>105</v>
      </c>
      <c r="K28" s="66">
        <f>5900*1.1</f>
        <v>6490.0000000000009</v>
      </c>
      <c r="L28" s="66">
        <f>2350*1.1</f>
        <v>2585</v>
      </c>
      <c r="M28" s="66">
        <f>1770*1.1</f>
        <v>1947.0000000000002</v>
      </c>
      <c r="N28" s="66">
        <f t="shared" si="1"/>
        <v>4543</v>
      </c>
      <c r="O28" s="66">
        <f t="shared" si="1"/>
        <v>1809.4999999999998</v>
      </c>
      <c r="P28" s="66">
        <f t="shared" si="1"/>
        <v>1362.9</v>
      </c>
      <c r="Q28" s="66">
        <f t="shared" si="2"/>
        <v>10.000000000000014</v>
      </c>
      <c r="R28" s="66">
        <f t="shared" si="2"/>
        <v>9.9999999999999858</v>
      </c>
      <c r="S28" s="66">
        <f t="shared" si="2"/>
        <v>10.000000000000014</v>
      </c>
      <c r="Y28" s="67">
        <f t="shared" si="3"/>
        <v>1.1000000000000001</v>
      </c>
    </row>
    <row r="29" spans="1:25" ht="75" x14ac:dyDescent="0.25">
      <c r="A29" s="64" t="s">
        <v>82</v>
      </c>
      <c r="B29" s="65" t="s">
        <v>106</v>
      </c>
      <c r="C29" s="66">
        <v>5000</v>
      </c>
      <c r="D29" s="66">
        <v>1920</v>
      </c>
      <c r="E29" s="66">
        <v>1500</v>
      </c>
      <c r="F29" s="66">
        <f t="shared" si="0"/>
        <v>3500</v>
      </c>
      <c r="G29" s="66">
        <f t="shared" si="0"/>
        <v>1344</v>
      </c>
      <c r="H29" s="66">
        <f t="shared" si="0"/>
        <v>1050</v>
      </c>
      <c r="I29" s="64" t="s">
        <v>82</v>
      </c>
      <c r="J29" s="65" t="s">
        <v>107</v>
      </c>
      <c r="K29" s="66">
        <f>5000*1.1</f>
        <v>5500</v>
      </c>
      <c r="L29" s="66">
        <f>1920*1.1</f>
        <v>2112</v>
      </c>
      <c r="M29" s="66">
        <f>1500*1.1</f>
        <v>1650.0000000000002</v>
      </c>
      <c r="N29" s="66">
        <f t="shared" si="1"/>
        <v>3849.9999999999995</v>
      </c>
      <c r="O29" s="66">
        <f t="shared" si="1"/>
        <v>1478.3999999999999</v>
      </c>
      <c r="P29" s="66">
        <f t="shared" si="1"/>
        <v>1155</v>
      </c>
      <c r="Q29" s="66">
        <f t="shared" si="2"/>
        <v>9.9999999999999858</v>
      </c>
      <c r="R29" s="66">
        <f t="shared" si="2"/>
        <v>9.9999999999999858</v>
      </c>
      <c r="S29" s="66">
        <f t="shared" si="2"/>
        <v>10.000000000000014</v>
      </c>
      <c r="T29" s="69" t="s">
        <v>108</v>
      </c>
      <c r="Y29" s="67">
        <f t="shared" si="3"/>
        <v>1.1000000000000001</v>
      </c>
    </row>
    <row r="30" spans="1:25" ht="37.5" hidden="1" x14ac:dyDescent="0.25">
      <c r="A30" s="64" t="s">
        <v>109</v>
      </c>
      <c r="B30" s="65" t="s">
        <v>763</v>
      </c>
      <c r="C30" s="66">
        <v>4000</v>
      </c>
      <c r="D30" s="66">
        <v>1520</v>
      </c>
      <c r="E30" s="66">
        <v>1200</v>
      </c>
      <c r="F30" s="66">
        <f t="shared" si="0"/>
        <v>2800</v>
      </c>
      <c r="G30" s="66">
        <f t="shared" si="0"/>
        <v>1064</v>
      </c>
      <c r="H30" s="66">
        <f t="shared" si="0"/>
        <v>840</v>
      </c>
      <c r="I30" s="64"/>
      <c r="J30" s="65"/>
      <c r="K30" s="66"/>
      <c r="L30" s="66"/>
      <c r="M30" s="66"/>
      <c r="N30" s="66">
        <f t="shared" si="1"/>
        <v>0</v>
      </c>
      <c r="O30" s="66">
        <f t="shared" si="1"/>
        <v>0</v>
      </c>
      <c r="P30" s="66">
        <f t="shared" si="1"/>
        <v>0</v>
      </c>
      <c r="Q30" s="66">
        <f t="shared" si="2"/>
        <v>-100</v>
      </c>
      <c r="R30" s="66">
        <f t="shared" si="2"/>
        <v>-100</v>
      </c>
      <c r="S30" s="66">
        <f t="shared" si="2"/>
        <v>-100</v>
      </c>
      <c r="T30" s="60" t="s">
        <v>764</v>
      </c>
      <c r="Y30" s="67">
        <f t="shared" si="3"/>
        <v>0</v>
      </c>
    </row>
    <row r="31" spans="1:25" ht="56.25" x14ac:dyDescent="0.25">
      <c r="A31" s="64" t="s">
        <v>111</v>
      </c>
      <c r="B31" s="65" t="s">
        <v>110</v>
      </c>
      <c r="C31" s="66">
        <v>3500</v>
      </c>
      <c r="D31" s="66">
        <v>1400</v>
      </c>
      <c r="E31" s="66">
        <v>1050</v>
      </c>
      <c r="F31" s="66">
        <f t="shared" si="0"/>
        <v>2450</v>
      </c>
      <c r="G31" s="66">
        <f t="shared" si="0"/>
        <v>979.99999999999989</v>
      </c>
      <c r="H31" s="66">
        <f t="shared" si="0"/>
        <v>735</v>
      </c>
      <c r="I31" s="64" t="s">
        <v>109</v>
      </c>
      <c r="J31" s="65" t="s">
        <v>110</v>
      </c>
      <c r="K31" s="66">
        <f>3500*1.1</f>
        <v>3850.0000000000005</v>
      </c>
      <c r="L31" s="66">
        <f>1400*1.1</f>
        <v>1540.0000000000002</v>
      </c>
      <c r="M31" s="66">
        <f>1050*1.1</f>
        <v>1155</v>
      </c>
      <c r="N31" s="66">
        <f t="shared" si="1"/>
        <v>2695</v>
      </c>
      <c r="O31" s="66">
        <f t="shared" si="1"/>
        <v>1078</v>
      </c>
      <c r="P31" s="66">
        <f t="shared" si="1"/>
        <v>808.5</v>
      </c>
      <c r="Q31" s="66">
        <f t="shared" si="2"/>
        <v>10.000000000000014</v>
      </c>
      <c r="R31" s="66">
        <f t="shared" si="2"/>
        <v>10.000000000000014</v>
      </c>
      <c r="S31" s="66">
        <f t="shared" si="2"/>
        <v>10.000000000000014</v>
      </c>
      <c r="Y31" s="67">
        <f t="shared" si="3"/>
        <v>1.1000000000000001</v>
      </c>
    </row>
    <row r="32" spans="1:25" ht="75" hidden="1" x14ac:dyDescent="0.25">
      <c r="A32" s="64" t="s">
        <v>113</v>
      </c>
      <c r="B32" s="65" t="s">
        <v>112</v>
      </c>
      <c r="C32" s="66"/>
      <c r="D32" s="66"/>
      <c r="E32" s="66"/>
      <c r="F32" s="66"/>
      <c r="G32" s="66"/>
      <c r="H32" s="66"/>
      <c r="I32" s="64" t="s">
        <v>111</v>
      </c>
      <c r="J32" s="65" t="s">
        <v>112</v>
      </c>
      <c r="K32" s="66"/>
      <c r="L32" s="66"/>
      <c r="M32" s="66"/>
      <c r="N32" s="66"/>
      <c r="O32" s="66"/>
      <c r="P32" s="66"/>
      <c r="Q32" s="66"/>
      <c r="R32" s="66"/>
      <c r="S32" s="66"/>
      <c r="T32" s="69" t="s">
        <v>114</v>
      </c>
      <c r="U32" s="60" t="e">
        <f>D32/C32*100</f>
        <v>#DIV/0!</v>
      </c>
      <c r="V32" s="60" t="e">
        <f>E32/C32*100</f>
        <v>#DIV/0!</v>
      </c>
      <c r="Y32" s="67" t="e">
        <f t="shared" si="3"/>
        <v>#DIV/0!</v>
      </c>
    </row>
    <row r="33" spans="1:30" ht="112.5" hidden="1" x14ac:dyDescent="0.25">
      <c r="A33" s="64" t="s">
        <v>116</v>
      </c>
      <c r="B33" s="65" t="s">
        <v>115</v>
      </c>
      <c r="C33" s="66"/>
      <c r="D33" s="66"/>
      <c r="E33" s="66"/>
      <c r="F33" s="66"/>
      <c r="G33" s="66"/>
      <c r="H33" s="66"/>
      <c r="I33" s="64" t="s">
        <v>113</v>
      </c>
      <c r="J33" s="65" t="s">
        <v>115</v>
      </c>
      <c r="K33" s="66"/>
      <c r="L33" s="66"/>
      <c r="M33" s="66"/>
      <c r="N33" s="66"/>
      <c r="O33" s="66"/>
      <c r="P33" s="66"/>
      <c r="Q33" s="66"/>
      <c r="R33" s="66"/>
      <c r="S33" s="66"/>
      <c r="Y33" s="67" t="e">
        <f t="shared" si="3"/>
        <v>#DIV/0!</v>
      </c>
    </row>
    <row r="34" spans="1:30" ht="37.5" hidden="1" x14ac:dyDescent="0.25">
      <c r="A34" s="64" t="s">
        <v>118</v>
      </c>
      <c r="B34" s="65" t="s">
        <v>117</v>
      </c>
      <c r="C34" s="66"/>
      <c r="D34" s="66"/>
      <c r="E34" s="66"/>
      <c r="F34" s="66"/>
      <c r="G34" s="66"/>
      <c r="H34" s="66"/>
      <c r="I34" s="64" t="s">
        <v>116</v>
      </c>
      <c r="J34" s="65" t="s">
        <v>117</v>
      </c>
      <c r="K34" s="66"/>
      <c r="L34" s="66"/>
      <c r="M34" s="66"/>
      <c r="N34" s="66"/>
      <c r="O34" s="66"/>
      <c r="P34" s="66"/>
      <c r="Q34" s="66"/>
      <c r="R34" s="66"/>
      <c r="S34" s="66"/>
      <c r="Y34" s="67" t="e">
        <f t="shared" si="3"/>
        <v>#DIV/0!</v>
      </c>
    </row>
    <row r="35" spans="1:30" ht="75" customHeight="1" x14ac:dyDescent="0.25">
      <c r="A35" s="82">
        <v>2</v>
      </c>
      <c r="B35" s="63" t="s">
        <v>119</v>
      </c>
      <c r="C35" s="66">
        <v>4600</v>
      </c>
      <c r="D35" s="66">
        <v>1840</v>
      </c>
      <c r="E35" s="66">
        <v>1380</v>
      </c>
      <c r="F35" s="66">
        <f t="shared" si="0"/>
        <v>3220</v>
      </c>
      <c r="G35" s="66">
        <f t="shared" si="0"/>
        <v>1288</v>
      </c>
      <c r="H35" s="66">
        <f t="shared" si="0"/>
        <v>965.99999999999989</v>
      </c>
      <c r="I35" s="82">
        <v>2</v>
      </c>
      <c r="J35" s="63" t="s">
        <v>120</v>
      </c>
      <c r="K35" s="66">
        <f>4600*1.1</f>
        <v>5060</v>
      </c>
      <c r="L35" s="66">
        <f>1840*1.1</f>
        <v>2024.0000000000002</v>
      </c>
      <c r="M35" s="66">
        <f>1380*1.1</f>
        <v>1518.0000000000002</v>
      </c>
      <c r="N35" s="66">
        <f t="shared" si="1"/>
        <v>3542</v>
      </c>
      <c r="O35" s="66">
        <f t="shared" si="1"/>
        <v>1416.8000000000002</v>
      </c>
      <c r="P35" s="66">
        <f t="shared" si="1"/>
        <v>1062.6000000000001</v>
      </c>
      <c r="Q35" s="66">
        <f t="shared" si="2"/>
        <v>10.000000000000014</v>
      </c>
      <c r="R35" s="66">
        <f t="shared" si="2"/>
        <v>10.000000000000014</v>
      </c>
      <c r="S35" s="66">
        <f t="shared" si="2"/>
        <v>10.000000000000028</v>
      </c>
      <c r="T35" s="74" t="s">
        <v>121</v>
      </c>
      <c r="Y35" s="67">
        <f t="shared" si="3"/>
        <v>1.1000000000000001</v>
      </c>
    </row>
    <row r="36" spans="1:30" ht="75" x14ac:dyDescent="0.25">
      <c r="A36" s="82">
        <v>3</v>
      </c>
      <c r="B36" s="63" t="s">
        <v>122</v>
      </c>
      <c r="C36" s="66">
        <v>4600</v>
      </c>
      <c r="D36" s="66">
        <v>1840</v>
      </c>
      <c r="E36" s="66">
        <v>1380</v>
      </c>
      <c r="F36" s="66">
        <f t="shared" si="0"/>
        <v>3220</v>
      </c>
      <c r="G36" s="66">
        <f t="shared" si="0"/>
        <v>1288</v>
      </c>
      <c r="H36" s="66">
        <f t="shared" si="0"/>
        <v>965.99999999999989</v>
      </c>
      <c r="I36" s="82">
        <v>3</v>
      </c>
      <c r="J36" s="63" t="s">
        <v>123</v>
      </c>
      <c r="K36" s="66">
        <f>4600*1.1</f>
        <v>5060</v>
      </c>
      <c r="L36" s="66">
        <f>1840*1.1</f>
        <v>2024.0000000000002</v>
      </c>
      <c r="M36" s="66">
        <f>1380*1.1</f>
        <v>1518.0000000000002</v>
      </c>
      <c r="N36" s="66">
        <f t="shared" si="1"/>
        <v>3542</v>
      </c>
      <c r="O36" s="66">
        <f t="shared" si="1"/>
        <v>1416.8000000000002</v>
      </c>
      <c r="P36" s="66">
        <f t="shared" si="1"/>
        <v>1062.6000000000001</v>
      </c>
      <c r="Q36" s="66">
        <f t="shared" si="2"/>
        <v>10.000000000000014</v>
      </c>
      <c r="R36" s="66">
        <f t="shared" si="2"/>
        <v>10.000000000000014</v>
      </c>
      <c r="S36" s="66">
        <f t="shared" si="2"/>
        <v>10.000000000000028</v>
      </c>
      <c r="T36" s="74" t="s">
        <v>124</v>
      </c>
      <c r="Y36" s="67">
        <f t="shared" si="3"/>
        <v>1.1000000000000001</v>
      </c>
    </row>
    <row r="37" spans="1:30" ht="95.25" customHeight="1" x14ac:dyDescent="0.25">
      <c r="A37" s="82">
        <v>4</v>
      </c>
      <c r="B37" s="63" t="s">
        <v>125</v>
      </c>
      <c r="C37" s="66">
        <v>2600</v>
      </c>
      <c r="D37" s="66">
        <v>1040</v>
      </c>
      <c r="E37" s="66">
        <v>780</v>
      </c>
      <c r="F37" s="66">
        <f t="shared" si="0"/>
        <v>1819.9999999999998</v>
      </c>
      <c r="G37" s="66">
        <f t="shared" si="0"/>
        <v>728</v>
      </c>
      <c r="H37" s="66">
        <f t="shared" si="0"/>
        <v>546</v>
      </c>
      <c r="I37" s="82">
        <v>4</v>
      </c>
      <c r="J37" s="63" t="s">
        <v>126</v>
      </c>
      <c r="K37" s="66">
        <f>2600*1.1</f>
        <v>2860.0000000000005</v>
      </c>
      <c r="L37" s="66">
        <f>1040*1.1</f>
        <v>1144</v>
      </c>
      <c r="M37" s="66">
        <f>780*1.1</f>
        <v>858.00000000000011</v>
      </c>
      <c r="N37" s="66">
        <f>K37*70%</f>
        <v>2002.0000000000002</v>
      </c>
      <c r="O37" s="66">
        <f>L37*70%</f>
        <v>800.8</v>
      </c>
      <c r="P37" s="66">
        <f>M37*70%</f>
        <v>600.6</v>
      </c>
      <c r="Q37" s="66">
        <f t="shared" si="2"/>
        <v>10.000000000000028</v>
      </c>
      <c r="R37" s="66">
        <f t="shared" si="2"/>
        <v>9.9999999999999858</v>
      </c>
      <c r="S37" s="66">
        <f t="shared" si="2"/>
        <v>10.000000000000014</v>
      </c>
      <c r="T37" s="74" t="s">
        <v>124</v>
      </c>
      <c r="U37" s="60">
        <f>D37/C37*100</f>
        <v>40</v>
      </c>
      <c r="V37" s="60">
        <f>E37/C37*100</f>
        <v>30</v>
      </c>
      <c r="W37" s="75">
        <f>K37/C37</f>
        <v>1.1000000000000001</v>
      </c>
      <c r="X37" s="76"/>
      <c r="Y37" s="67">
        <f t="shared" si="3"/>
        <v>1.1000000000000001</v>
      </c>
    </row>
    <row r="38" spans="1:30" ht="93.75" x14ac:dyDescent="0.25">
      <c r="A38" s="82">
        <v>5</v>
      </c>
      <c r="B38" s="63" t="s">
        <v>127</v>
      </c>
      <c r="C38" s="66">
        <v>2500</v>
      </c>
      <c r="D38" s="66">
        <v>1000</v>
      </c>
      <c r="E38" s="66">
        <v>750</v>
      </c>
      <c r="F38" s="66">
        <f t="shared" si="0"/>
        <v>1750</v>
      </c>
      <c r="G38" s="66">
        <f t="shared" si="0"/>
        <v>700</v>
      </c>
      <c r="H38" s="66">
        <f t="shared" si="0"/>
        <v>525</v>
      </c>
      <c r="I38" s="82">
        <v>5</v>
      </c>
      <c r="J38" s="63" t="s">
        <v>127</v>
      </c>
      <c r="K38" s="66">
        <v>2768</v>
      </c>
      <c r="L38" s="66">
        <f>K38*40%</f>
        <v>1107.2</v>
      </c>
      <c r="M38" s="66">
        <f>K38*30%</f>
        <v>830.4</v>
      </c>
      <c r="N38" s="66">
        <f t="shared" si="1"/>
        <v>1937.6</v>
      </c>
      <c r="O38" s="66">
        <f t="shared" si="1"/>
        <v>775.04</v>
      </c>
      <c r="P38" s="66">
        <f t="shared" si="1"/>
        <v>581.28</v>
      </c>
      <c r="Q38" s="66">
        <f t="shared" si="2"/>
        <v>10.719999999999999</v>
      </c>
      <c r="R38" s="66">
        <f t="shared" si="2"/>
        <v>10.719999999999999</v>
      </c>
      <c r="S38" s="66">
        <f t="shared" si="2"/>
        <v>10.719999999999999</v>
      </c>
      <c r="T38" s="67"/>
      <c r="U38" s="60">
        <f>D38/C38*100</f>
        <v>40</v>
      </c>
      <c r="V38" s="60">
        <f>E38/C38*100</f>
        <v>30</v>
      </c>
      <c r="W38" s="67">
        <f>K38/C38</f>
        <v>1.1072</v>
      </c>
      <c r="Y38" s="67">
        <f t="shared" si="3"/>
        <v>1.1072</v>
      </c>
    </row>
    <row r="39" spans="1:30" ht="56.25" x14ac:dyDescent="0.25">
      <c r="A39" s="82">
        <v>6</v>
      </c>
      <c r="B39" s="63" t="s">
        <v>128</v>
      </c>
      <c r="C39" s="66">
        <v>1200</v>
      </c>
      <c r="D39" s="66">
        <v>480</v>
      </c>
      <c r="E39" s="66">
        <v>360</v>
      </c>
      <c r="F39" s="66">
        <f t="shared" si="0"/>
        <v>840</v>
      </c>
      <c r="G39" s="66">
        <f t="shared" si="0"/>
        <v>336</v>
      </c>
      <c r="H39" s="66">
        <f t="shared" si="0"/>
        <v>251.99999999999997</v>
      </c>
      <c r="I39" s="82">
        <v>6</v>
      </c>
      <c r="J39" s="63" t="s">
        <v>128</v>
      </c>
      <c r="K39" s="66">
        <f>1200*1.1</f>
        <v>1320</v>
      </c>
      <c r="L39" s="66">
        <f>480*1.1</f>
        <v>528</v>
      </c>
      <c r="M39" s="66">
        <f>360*1.1</f>
        <v>396.00000000000006</v>
      </c>
      <c r="N39" s="66">
        <f t="shared" si="1"/>
        <v>923.99999999999989</v>
      </c>
      <c r="O39" s="66">
        <f t="shared" si="1"/>
        <v>369.59999999999997</v>
      </c>
      <c r="P39" s="66">
        <f t="shared" si="1"/>
        <v>277.20000000000005</v>
      </c>
      <c r="Q39" s="66">
        <f t="shared" si="2"/>
        <v>9.9999999999999858</v>
      </c>
      <c r="R39" s="66">
        <f t="shared" si="2"/>
        <v>9.9999999999999858</v>
      </c>
      <c r="S39" s="66">
        <f t="shared" si="2"/>
        <v>10.000000000000028</v>
      </c>
      <c r="Y39" s="67">
        <f t="shared" si="3"/>
        <v>1.1000000000000001</v>
      </c>
    </row>
    <row r="40" spans="1:30" ht="56.25" x14ac:dyDescent="0.25">
      <c r="A40" s="82">
        <v>7</v>
      </c>
      <c r="B40" s="63" t="s">
        <v>129</v>
      </c>
      <c r="C40" s="66"/>
      <c r="D40" s="66"/>
      <c r="E40" s="66"/>
      <c r="F40" s="66"/>
      <c r="G40" s="66"/>
      <c r="H40" s="66"/>
      <c r="I40" s="82">
        <v>7</v>
      </c>
      <c r="J40" s="63" t="s">
        <v>129</v>
      </c>
      <c r="K40" s="66"/>
      <c r="L40" s="66"/>
      <c r="M40" s="66"/>
      <c r="N40" s="66"/>
      <c r="O40" s="66"/>
      <c r="P40" s="66"/>
      <c r="Q40" s="66"/>
      <c r="R40" s="66"/>
      <c r="S40" s="66"/>
      <c r="Y40" s="67"/>
    </row>
    <row r="41" spans="1:30" ht="75" x14ac:dyDescent="0.25">
      <c r="A41" s="64" t="s">
        <v>131</v>
      </c>
      <c r="B41" s="65" t="s">
        <v>130</v>
      </c>
      <c r="C41" s="66">
        <v>5000</v>
      </c>
      <c r="D41" s="66">
        <v>2000</v>
      </c>
      <c r="E41" s="66">
        <v>1500</v>
      </c>
      <c r="F41" s="66">
        <f t="shared" si="0"/>
        <v>3500</v>
      </c>
      <c r="G41" s="66">
        <f t="shared" si="0"/>
        <v>1400</v>
      </c>
      <c r="H41" s="66">
        <f t="shared" si="0"/>
        <v>1050</v>
      </c>
      <c r="I41" s="64" t="s">
        <v>131</v>
      </c>
      <c r="J41" s="65" t="s">
        <v>130</v>
      </c>
      <c r="K41" s="66">
        <f>5000*1.1</f>
        <v>5500</v>
      </c>
      <c r="L41" s="66">
        <f>2000*1.1</f>
        <v>2200</v>
      </c>
      <c r="M41" s="66">
        <f>1500*1.1</f>
        <v>1650.0000000000002</v>
      </c>
      <c r="N41" s="66">
        <f t="shared" si="1"/>
        <v>3849.9999999999995</v>
      </c>
      <c r="O41" s="66">
        <f t="shared" si="1"/>
        <v>1540</v>
      </c>
      <c r="P41" s="66">
        <f t="shared" si="1"/>
        <v>1155</v>
      </c>
      <c r="Q41" s="66">
        <f t="shared" si="2"/>
        <v>9.9999999999999858</v>
      </c>
      <c r="R41" s="66">
        <f t="shared" si="2"/>
        <v>10.000000000000014</v>
      </c>
      <c r="S41" s="66">
        <f t="shared" si="2"/>
        <v>10.000000000000014</v>
      </c>
      <c r="Y41" s="67">
        <f t="shared" si="3"/>
        <v>1.1000000000000001</v>
      </c>
    </row>
    <row r="42" spans="1:30" ht="37.5" x14ac:dyDescent="0.25">
      <c r="A42" s="64" t="s">
        <v>133</v>
      </c>
      <c r="B42" s="65" t="s">
        <v>132</v>
      </c>
      <c r="C42" s="66">
        <v>4500</v>
      </c>
      <c r="D42" s="66">
        <v>1800</v>
      </c>
      <c r="E42" s="66">
        <v>1350</v>
      </c>
      <c r="F42" s="66">
        <f t="shared" si="0"/>
        <v>3150</v>
      </c>
      <c r="G42" s="66">
        <f t="shared" si="0"/>
        <v>1260</v>
      </c>
      <c r="H42" s="66">
        <f t="shared" si="0"/>
        <v>944.99999999999989</v>
      </c>
      <c r="I42" s="64" t="s">
        <v>133</v>
      </c>
      <c r="J42" s="65" t="s">
        <v>132</v>
      </c>
      <c r="K42" s="66">
        <f>4500*1.1</f>
        <v>4950</v>
      </c>
      <c r="L42" s="66">
        <f>1800*1.1</f>
        <v>1980.0000000000002</v>
      </c>
      <c r="M42" s="66">
        <f>1350*1.1</f>
        <v>1485.0000000000002</v>
      </c>
      <c r="N42" s="66">
        <f t="shared" si="1"/>
        <v>3465</v>
      </c>
      <c r="O42" s="66">
        <f t="shared" si="1"/>
        <v>1386</v>
      </c>
      <c r="P42" s="66">
        <f t="shared" si="1"/>
        <v>1039.5</v>
      </c>
      <c r="Q42" s="66">
        <f t="shared" si="2"/>
        <v>10.000000000000014</v>
      </c>
      <c r="R42" s="66">
        <f t="shared" si="2"/>
        <v>10.000000000000014</v>
      </c>
      <c r="S42" s="66">
        <f t="shared" si="2"/>
        <v>10.000000000000014</v>
      </c>
      <c r="Y42" s="67">
        <f t="shared" si="3"/>
        <v>1.1000000000000001</v>
      </c>
    </row>
    <row r="43" spans="1:30" ht="37.5" x14ac:dyDescent="0.25">
      <c r="A43" s="64" t="s">
        <v>135</v>
      </c>
      <c r="B43" s="65" t="s">
        <v>134</v>
      </c>
      <c r="C43" s="66">
        <v>3500</v>
      </c>
      <c r="D43" s="66">
        <v>1400</v>
      </c>
      <c r="E43" s="66">
        <v>1050</v>
      </c>
      <c r="F43" s="66">
        <f t="shared" si="0"/>
        <v>2450</v>
      </c>
      <c r="G43" s="66">
        <f t="shared" si="0"/>
        <v>979.99999999999989</v>
      </c>
      <c r="H43" s="66">
        <f t="shared" si="0"/>
        <v>735</v>
      </c>
      <c r="I43" s="64" t="s">
        <v>135</v>
      </c>
      <c r="J43" s="65" t="s">
        <v>134</v>
      </c>
      <c r="K43" s="66">
        <f>3500*1.1</f>
        <v>3850.0000000000005</v>
      </c>
      <c r="L43" s="66">
        <f>1400*1.1</f>
        <v>1540.0000000000002</v>
      </c>
      <c r="M43" s="66">
        <f>1050*1.1</f>
        <v>1155</v>
      </c>
      <c r="N43" s="66">
        <f t="shared" si="1"/>
        <v>2695</v>
      </c>
      <c r="O43" s="66">
        <f t="shared" si="1"/>
        <v>1078</v>
      </c>
      <c r="P43" s="66">
        <f t="shared" si="1"/>
        <v>808.5</v>
      </c>
      <c r="Q43" s="66">
        <f t="shared" si="2"/>
        <v>10.000000000000014</v>
      </c>
      <c r="R43" s="66">
        <f t="shared" si="2"/>
        <v>10.000000000000014</v>
      </c>
      <c r="S43" s="66">
        <f t="shared" si="2"/>
        <v>10.000000000000014</v>
      </c>
      <c r="Y43" s="67">
        <f t="shared" si="3"/>
        <v>1.1000000000000001</v>
      </c>
    </row>
    <row r="44" spans="1:30" ht="47.25" customHeight="1" x14ac:dyDescent="0.25">
      <c r="A44" s="82">
        <v>8</v>
      </c>
      <c r="B44" s="63" t="s">
        <v>136</v>
      </c>
      <c r="C44" s="66">
        <v>1300</v>
      </c>
      <c r="D44" s="66">
        <v>520</v>
      </c>
      <c r="E44" s="66">
        <v>390</v>
      </c>
      <c r="F44" s="66">
        <f t="shared" si="0"/>
        <v>909.99999999999989</v>
      </c>
      <c r="G44" s="66">
        <f t="shared" si="0"/>
        <v>364</v>
      </c>
      <c r="H44" s="66">
        <f t="shared" si="0"/>
        <v>273</v>
      </c>
      <c r="I44" s="82">
        <v>8</v>
      </c>
      <c r="J44" s="63" t="s">
        <v>137</v>
      </c>
      <c r="K44" s="66">
        <f>1300*1.1</f>
        <v>1430.0000000000002</v>
      </c>
      <c r="L44" s="66">
        <f>520*1.1</f>
        <v>572</v>
      </c>
      <c r="M44" s="66">
        <f>390*1.1</f>
        <v>429.00000000000006</v>
      </c>
      <c r="N44" s="66">
        <f t="shared" si="1"/>
        <v>1001.0000000000001</v>
      </c>
      <c r="O44" s="66">
        <f t="shared" si="1"/>
        <v>400.4</v>
      </c>
      <c r="P44" s="66">
        <f t="shared" si="1"/>
        <v>300.3</v>
      </c>
      <c r="Q44" s="66">
        <f t="shared" si="2"/>
        <v>10.000000000000028</v>
      </c>
      <c r="R44" s="66">
        <f t="shared" si="2"/>
        <v>9.9999999999999858</v>
      </c>
      <c r="S44" s="66">
        <f t="shared" si="2"/>
        <v>10.000000000000014</v>
      </c>
      <c r="T44" s="60" t="s">
        <v>138</v>
      </c>
      <c r="Y44" s="67">
        <f t="shared" si="3"/>
        <v>1.1000000000000001</v>
      </c>
    </row>
    <row r="45" spans="1:30" ht="37.5" x14ac:dyDescent="0.25">
      <c r="A45" s="82">
        <v>9</v>
      </c>
      <c r="B45" s="63" t="s">
        <v>139</v>
      </c>
      <c r="C45" s="66">
        <v>1500</v>
      </c>
      <c r="D45" s="66">
        <v>600</v>
      </c>
      <c r="E45" s="66">
        <v>450</v>
      </c>
      <c r="F45" s="66">
        <f t="shared" si="0"/>
        <v>1050</v>
      </c>
      <c r="G45" s="66">
        <f t="shared" si="0"/>
        <v>420</v>
      </c>
      <c r="H45" s="66">
        <f t="shared" si="0"/>
        <v>315</v>
      </c>
      <c r="I45" s="82">
        <v>9</v>
      </c>
      <c r="J45" s="63" t="s">
        <v>139</v>
      </c>
      <c r="K45" s="66">
        <f>1500*1.1</f>
        <v>1650.0000000000002</v>
      </c>
      <c r="L45" s="66">
        <f>600*1.1</f>
        <v>660</v>
      </c>
      <c r="M45" s="66">
        <f>450*1.1</f>
        <v>495.00000000000006</v>
      </c>
      <c r="N45" s="66">
        <f t="shared" si="1"/>
        <v>1155</v>
      </c>
      <c r="O45" s="66">
        <f t="shared" si="1"/>
        <v>461.99999999999994</v>
      </c>
      <c r="P45" s="66">
        <f t="shared" si="1"/>
        <v>346.5</v>
      </c>
      <c r="Q45" s="66">
        <f t="shared" si="2"/>
        <v>10.000000000000014</v>
      </c>
      <c r="R45" s="66">
        <f t="shared" si="2"/>
        <v>9.9999999999999858</v>
      </c>
      <c r="S45" s="66">
        <f t="shared" si="2"/>
        <v>10.000000000000014</v>
      </c>
      <c r="Y45" s="67">
        <f t="shared" si="3"/>
        <v>1.1000000000000001</v>
      </c>
      <c r="AD45" s="68"/>
    </row>
    <row r="46" spans="1:30" ht="37.5" x14ac:dyDescent="0.25">
      <c r="A46" s="82">
        <v>10</v>
      </c>
      <c r="B46" s="63" t="s">
        <v>140</v>
      </c>
      <c r="C46" s="66"/>
      <c r="D46" s="66"/>
      <c r="E46" s="66"/>
      <c r="F46" s="66"/>
      <c r="G46" s="66"/>
      <c r="H46" s="66"/>
      <c r="I46" s="82">
        <v>10</v>
      </c>
      <c r="J46" s="63" t="s">
        <v>141</v>
      </c>
      <c r="K46" s="66"/>
      <c r="L46" s="66"/>
      <c r="M46" s="66"/>
      <c r="N46" s="66"/>
      <c r="O46" s="66"/>
      <c r="P46" s="66"/>
      <c r="Q46" s="66"/>
      <c r="R46" s="66"/>
      <c r="S46" s="66"/>
      <c r="T46" s="60" t="s">
        <v>138</v>
      </c>
      <c r="Y46" s="67"/>
    </row>
    <row r="47" spans="1:30" ht="47.25" customHeight="1" x14ac:dyDescent="0.25">
      <c r="A47" s="64" t="s">
        <v>143</v>
      </c>
      <c r="B47" s="65" t="s">
        <v>142</v>
      </c>
      <c r="C47" s="66">
        <v>550</v>
      </c>
      <c r="D47" s="66">
        <v>264</v>
      </c>
      <c r="E47" s="66">
        <v>165</v>
      </c>
      <c r="F47" s="66">
        <f t="shared" si="0"/>
        <v>385</v>
      </c>
      <c r="G47" s="66">
        <f t="shared" si="0"/>
        <v>184.79999999999998</v>
      </c>
      <c r="H47" s="66">
        <f t="shared" si="0"/>
        <v>115.49999999999999</v>
      </c>
      <c r="I47" s="64" t="s">
        <v>143</v>
      </c>
      <c r="J47" s="65" t="s">
        <v>144</v>
      </c>
      <c r="K47" s="66">
        <f>550*1.1</f>
        <v>605</v>
      </c>
      <c r="L47" s="66">
        <f>264*1.1</f>
        <v>290.40000000000003</v>
      </c>
      <c r="M47" s="66">
        <f>165*1.1</f>
        <v>181.50000000000003</v>
      </c>
      <c r="N47" s="66">
        <f t="shared" si="1"/>
        <v>423.5</v>
      </c>
      <c r="O47" s="66">
        <f t="shared" si="1"/>
        <v>203.28</v>
      </c>
      <c r="P47" s="66">
        <f t="shared" si="1"/>
        <v>127.05000000000001</v>
      </c>
      <c r="Q47" s="66">
        <f t="shared" si="2"/>
        <v>10.000000000000014</v>
      </c>
      <c r="R47" s="66">
        <f t="shared" si="2"/>
        <v>10.000000000000014</v>
      </c>
      <c r="S47" s="66">
        <f t="shared" si="2"/>
        <v>10.000000000000028</v>
      </c>
      <c r="T47" s="74" t="s">
        <v>145</v>
      </c>
      <c r="Y47" s="67">
        <f t="shared" si="3"/>
        <v>1.1000000000000001</v>
      </c>
    </row>
    <row r="48" spans="1:30" ht="24.95" customHeight="1" x14ac:dyDescent="0.25">
      <c r="A48" s="64" t="s">
        <v>147</v>
      </c>
      <c r="B48" s="65" t="s">
        <v>146</v>
      </c>
      <c r="C48" s="66">
        <v>850</v>
      </c>
      <c r="D48" s="66">
        <v>408</v>
      </c>
      <c r="E48" s="66">
        <v>255</v>
      </c>
      <c r="F48" s="66">
        <f t="shared" si="0"/>
        <v>595</v>
      </c>
      <c r="G48" s="66">
        <f t="shared" si="0"/>
        <v>285.59999999999997</v>
      </c>
      <c r="H48" s="66">
        <f t="shared" si="0"/>
        <v>178.5</v>
      </c>
      <c r="I48" s="64" t="s">
        <v>147</v>
      </c>
      <c r="J48" s="65" t="s">
        <v>146</v>
      </c>
      <c r="K48" s="66">
        <f>850*1.1</f>
        <v>935.00000000000011</v>
      </c>
      <c r="L48" s="66">
        <f>408*1.1</f>
        <v>448.8</v>
      </c>
      <c r="M48" s="66">
        <f>255*1.1</f>
        <v>280.5</v>
      </c>
      <c r="N48" s="66">
        <f t="shared" si="1"/>
        <v>654.5</v>
      </c>
      <c r="O48" s="66">
        <f t="shared" si="1"/>
        <v>314.15999999999997</v>
      </c>
      <c r="P48" s="66">
        <f t="shared" si="1"/>
        <v>196.35</v>
      </c>
      <c r="Q48" s="66">
        <f t="shared" si="2"/>
        <v>10.000000000000014</v>
      </c>
      <c r="R48" s="66">
        <f t="shared" si="2"/>
        <v>10.000000000000014</v>
      </c>
      <c r="S48" s="66">
        <f t="shared" si="2"/>
        <v>9.9999999999999858</v>
      </c>
      <c r="T48" s="67"/>
      <c r="U48" s="60">
        <f>D48/C48*100</f>
        <v>48</v>
      </c>
      <c r="V48" s="60">
        <f>E48/C48*100</f>
        <v>30</v>
      </c>
      <c r="W48" s="67">
        <f>K48/C48</f>
        <v>1.1000000000000001</v>
      </c>
      <c r="Y48" s="67">
        <f t="shared" si="3"/>
        <v>1.1000000000000001</v>
      </c>
    </row>
    <row r="49" spans="1:25" ht="24.95" customHeight="1" x14ac:dyDescent="0.25">
      <c r="A49" s="64" t="s">
        <v>149</v>
      </c>
      <c r="B49" s="65" t="s">
        <v>148</v>
      </c>
      <c r="C49" s="66">
        <v>900</v>
      </c>
      <c r="D49" s="66">
        <v>432</v>
      </c>
      <c r="E49" s="66">
        <v>270</v>
      </c>
      <c r="F49" s="66">
        <f t="shared" si="0"/>
        <v>630</v>
      </c>
      <c r="G49" s="66">
        <f t="shared" si="0"/>
        <v>302.39999999999998</v>
      </c>
      <c r="H49" s="66">
        <f t="shared" si="0"/>
        <v>189</v>
      </c>
      <c r="I49" s="64" t="s">
        <v>149</v>
      </c>
      <c r="J49" s="65" t="s">
        <v>148</v>
      </c>
      <c r="K49" s="66">
        <f>900*1.1</f>
        <v>990.00000000000011</v>
      </c>
      <c r="L49" s="66">
        <f>432*1.1</f>
        <v>475.20000000000005</v>
      </c>
      <c r="M49" s="66">
        <f>270*1.1</f>
        <v>297</v>
      </c>
      <c r="N49" s="66">
        <f t="shared" si="1"/>
        <v>693</v>
      </c>
      <c r="O49" s="66">
        <f t="shared" si="1"/>
        <v>332.64</v>
      </c>
      <c r="P49" s="66">
        <f t="shared" si="1"/>
        <v>207.89999999999998</v>
      </c>
      <c r="Q49" s="66">
        <f t="shared" si="2"/>
        <v>10.000000000000014</v>
      </c>
      <c r="R49" s="66">
        <f t="shared" si="2"/>
        <v>10.000000000000014</v>
      </c>
      <c r="S49" s="66">
        <f t="shared" si="2"/>
        <v>9.9999999999999858</v>
      </c>
      <c r="Y49" s="67">
        <f t="shared" si="3"/>
        <v>1.1000000000000001</v>
      </c>
    </row>
    <row r="50" spans="1:25" ht="24.95" customHeight="1" x14ac:dyDescent="0.25">
      <c r="A50" s="64" t="s">
        <v>151</v>
      </c>
      <c r="B50" s="65" t="s">
        <v>150</v>
      </c>
      <c r="C50" s="66">
        <v>950</v>
      </c>
      <c r="D50" s="66">
        <v>456</v>
      </c>
      <c r="E50" s="66">
        <v>285</v>
      </c>
      <c r="F50" s="66">
        <f t="shared" si="0"/>
        <v>665</v>
      </c>
      <c r="G50" s="66">
        <f t="shared" si="0"/>
        <v>319.2</v>
      </c>
      <c r="H50" s="66">
        <f t="shared" si="0"/>
        <v>199.5</v>
      </c>
      <c r="I50" s="64" t="s">
        <v>151</v>
      </c>
      <c r="J50" s="65" t="s">
        <v>150</v>
      </c>
      <c r="K50" s="66">
        <f>950*1.1</f>
        <v>1045</v>
      </c>
      <c r="L50" s="66">
        <f>456*1.1</f>
        <v>501.6</v>
      </c>
      <c r="M50" s="66">
        <f>285*1.1</f>
        <v>313.5</v>
      </c>
      <c r="N50" s="66">
        <f t="shared" si="1"/>
        <v>731.5</v>
      </c>
      <c r="O50" s="66">
        <f t="shared" si="1"/>
        <v>351.12</v>
      </c>
      <c r="P50" s="66">
        <f t="shared" si="1"/>
        <v>219.45</v>
      </c>
      <c r="Q50" s="66">
        <f t="shared" si="2"/>
        <v>10.000000000000014</v>
      </c>
      <c r="R50" s="66">
        <f t="shared" si="2"/>
        <v>10.000000000000014</v>
      </c>
      <c r="S50" s="66">
        <f t="shared" si="2"/>
        <v>9.9999999999999858</v>
      </c>
      <c r="T50" s="74" t="s">
        <v>152</v>
      </c>
      <c r="Y50" s="67">
        <f t="shared" si="3"/>
        <v>1.1000000000000001</v>
      </c>
    </row>
    <row r="51" spans="1:25" ht="24.95" customHeight="1" x14ac:dyDescent="0.25">
      <c r="A51" s="64" t="s">
        <v>154</v>
      </c>
      <c r="B51" s="65" t="s">
        <v>153</v>
      </c>
      <c r="C51" s="66">
        <v>750</v>
      </c>
      <c r="D51" s="66">
        <v>360</v>
      </c>
      <c r="E51" s="66">
        <v>225</v>
      </c>
      <c r="F51" s="66">
        <f t="shared" si="0"/>
        <v>525</v>
      </c>
      <c r="G51" s="66">
        <f t="shared" si="0"/>
        <v>251.99999999999997</v>
      </c>
      <c r="H51" s="66">
        <f t="shared" si="0"/>
        <v>157.5</v>
      </c>
      <c r="I51" s="64" t="s">
        <v>154</v>
      </c>
      <c r="J51" s="65" t="s">
        <v>153</v>
      </c>
      <c r="K51" s="66">
        <f>750*1.1</f>
        <v>825.00000000000011</v>
      </c>
      <c r="L51" s="66">
        <f>360*1.1</f>
        <v>396.00000000000006</v>
      </c>
      <c r="M51" s="66">
        <f>225*1.1</f>
        <v>247.50000000000003</v>
      </c>
      <c r="N51" s="66">
        <f t="shared" si="1"/>
        <v>577.5</v>
      </c>
      <c r="O51" s="66">
        <f t="shared" si="1"/>
        <v>277.20000000000005</v>
      </c>
      <c r="P51" s="66">
        <f t="shared" si="1"/>
        <v>173.25</v>
      </c>
      <c r="Q51" s="66">
        <f t="shared" si="2"/>
        <v>10.000000000000014</v>
      </c>
      <c r="R51" s="66">
        <f t="shared" si="2"/>
        <v>10.000000000000028</v>
      </c>
      <c r="S51" s="66">
        <f t="shared" si="2"/>
        <v>10.000000000000014</v>
      </c>
      <c r="Y51" s="67">
        <f t="shared" si="3"/>
        <v>1.1000000000000001</v>
      </c>
    </row>
    <row r="52" spans="1:25" ht="24.95" customHeight="1" x14ac:dyDescent="0.25">
      <c r="A52" s="64" t="s">
        <v>156</v>
      </c>
      <c r="B52" s="65" t="s">
        <v>155</v>
      </c>
      <c r="C52" s="66">
        <v>750</v>
      </c>
      <c r="D52" s="66">
        <v>360</v>
      </c>
      <c r="E52" s="66">
        <v>225</v>
      </c>
      <c r="F52" s="66">
        <f t="shared" si="0"/>
        <v>525</v>
      </c>
      <c r="G52" s="66">
        <f t="shared" si="0"/>
        <v>251.99999999999997</v>
      </c>
      <c r="H52" s="66">
        <f t="shared" si="0"/>
        <v>157.5</v>
      </c>
      <c r="I52" s="64" t="s">
        <v>156</v>
      </c>
      <c r="J52" s="65" t="s">
        <v>155</v>
      </c>
      <c r="K52" s="66">
        <f>750*1.1</f>
        <v>825.00000000000011</v>
      </c>
      <c r="L52" s="66">
        <f>360*1.1</f>
        <v>396.00000000000006</v>
      </c>
      <c r="M52" s="66">
        <f>225*1.1</f>
        <v>247.50000000000003</v>
      </c>
      <c r="N52" s="66">
        <f t="shared" si="1"/>
        <v>577.5</v>
      </c>
      <c r="O52" s="66">
        <f t="shared" si="1"/>
        <v>277.20000000000005</v>
      </c>
      <c r="P52" s="66">
        <f t="shared" si="1"/>
        <v>173.25</v>
      </c>
      <c r="Q52" s="66">
        <f t="shared" si="2"/>
        <v>10.000000000000014</v>
      </c>
      <c r="R52" s="66">
        <f t="shared" si="2"/>
        <v>10.000000000000028</v>
      </c>
      <c r="S52" s="66">
        <f t="shared" si="2"/>
        <v>10.000000000000014</v>
      </c>
      <c r="Y52" s="67">
        <f t="shared" si="3"/>
        <v>1.1000000000000001</v>
      </c>
    </row>
    <row r="53" spans="1:25" ht="24.95" customHeight="1" x14ac:dyDescent="0.25">
      <c r="A53" s="64" t="s">
        <v>158</v>
      </c>
      <c r="B53" s="65" t="s">
        <v>157</v>
      </c>
      <c r="C53" s="66">
        <v>650</v>
      </c>
      <c r="D53" s="66">
        <v>312</v>
      </c>
      <c r="E53" s="66">
        <v>195</v>
      </c>
      <c r="F53" s="66">
        <f t="shared" si="0"/>
        <v>454.99999999999994</v>
      </c>
      <c r="G53" s="66">
        <f t="shared" si="0"/>
        <v>218.39999999999998</v>
      </c>
      <c r="H53" s="66">
        <f t="shared" si="0"/>
        <v>136.5</v>
      </c>
      <c r="I53" s="64" t="s">
        <v>158</v>
      </c>
      <c r="J53" s="65" t="s">
        <v>157</v>
      </c>
      <c r="K53" s="66">
        <f>650*1.1</f>
        <v>715.00000000000011</v>
      </c>
      <c r="L53" s="66">
        <f>312*1.1</f>
        <v>343.20000000000005</v>
      </c>
      <c r="M53" s="66">
        <f>195*1.1</f>
        <v>214.50000000000003</v>
      </c>
      <c r="N53" s="66">
        <f t="shared" si="1"/>
        <v>500.50000000000006</v>
      </c>
      <c r="O53" s="66">
        <f t="shared" si="1"/>
        <v>240.24</v>
      </c>
      <c r="P53" s="66">
        <f t="shared" si="1"/>
        <v>150.15</v>
      </c>
      <c r="Q53" s="66">
        <f t="shared" si="2"/>
        <v>10.000000000000028</v>
      </c>
      <c r="R53" s="66">
        <f t="shared" si="2"/>
        <v>10.000000000000014</v>
      </c>
      <c r="S53" s="66">
        <f t="shared" si="2"/>
        <v>10.000000000000014</v>
      </c>
      <c r="Y53" s="67">
        <f t="shared" si="3"/>
        <v>1.1000000000000001</v>
      </c>
    </row>
    <row r="54" spans="1:25" ht="24.95" customHeight="1" x14ac:dyDescent="0.25">
      <c r="A54" s="64" t="s">
        <v>160</v>
      </c>
      <c r="B54" s="65" t="s">
        <v>159</v>
      </c>
      <c r="C54" s="66">
        <v>600</v>
      </c>
      <c r="D54" s="66">
        <v>288</v>
      </c>
      <c r="E54" s="66">
        <v>180</v>
      </c>
      <c r="F54" s="66">
        <f t="shared" si="0"/>
        <v>420</v>
      </c>
      <c r="G54" s="66">
        <f t="shared" si="0"/>
        <v>201.6</v>
      </c>
      <c r="H54" s="66">
        <f t="shared" si="0"/>
        <v>125.99999999999999</v>
      </c>
      <c r="I54" s="64" t="s">
        <v>160</v>
      </c>
      <c r="J54" s="65" t="s">
        <v>159</v>
      </c>
      <c r="K54" s="66">
        <f>600*1.1</f>
        <v>660</v>
      </c>
      <c r="L54" s="66">
        <f>288*1.1</f>
        <v>316.8</v>
      </c>
      <c r="M54" s="66">
        <f>180*1.1</f>
        <v>198.00000000000003</v>
      </c>
      <c r="N54" s="66">
        <f t="shared" si="1"/>
        <v>461.99999999999994</v>
      </c>
      <c r="O54" s="66">
        <f t="shared" si="1"/>
        <v>221.76</v>
      </c>
      <c r="P54" s="66">
        <f t="shared" si="1"/>
        <v>138.60000000000002</v>
      </c>
      <c r="Q54" s="66">
        <f t="shared" si="2"/>
        <v>9.9999999999999858</v>
      </c>
      <c r="R54" s="66">
        <f t="shared" si="2"/>
        <v>10.000000000000014</v>
      </c>
      <c r="S54" s="66">
        <f t="shared" si="2"/>
        <v>10.000000000000028</v>
      </c>
      <c r="Y54" s="67">
        <f t="shared" si="3"/>
        <v>1.1000000000000001</v>
      </c>
    </row>
    <row r="55" spans="1:25" ht="37.5" x14ac:dyDescent="0.25">
      <c r="A55" s="82">
        <v>11</v>
      </c>
      <c r="B55" s="63" t="s">
        <v>161</v>
      </c>
      <c r="C55" s="66">
        <v>350</v>
      </c>
      <c r="D55" s="66">
        <v>168</v>
      </c>
      <c r="E55" s="66">
        <v>105</v>
      </c>
      <c r="F55" s="66">
        <f t="shared" si="0"/>
        <v>244.99999999999997</v>
      </c>
      <c r="G55" s="66">
        <f t="shared" si="0"/>
        <v>117.6</v>
      </c>
      <c r="H55" s="66">
        <f t="shared" si="0"/>
        <v>73.5</v>
      </c>
      <c r="I55" s="82">
        <v>11</v>
      </c>
      <c r="J55" s="63" t="s">
        <v>161</v>
      </c>
      <c r="K55" s="66">
        <f>350*1.1</f>
        <v>385.00000000000006</v>
      </c>
      <c r="L55" s="66">
        <f>168*1.1</f>
        <v>184.8</v>
      </c>
      <c r="M55" s="66">
        <f>105*1.1</f>
        <v>115.50000000000001</v>
      </c>
      <c r="N55" s="66">
        <f t="shared" si="1"/>
        <v>269.5</v>
      </c>
      <c r="O55" s="66">
        <f t="shared" si="1"/>
        <v>129.36000000000001</v>
      </c>
      <c r="P55" s="66">
        <f t="shared" si="1"/>
        <v>80.850000000000009</v>
      </c>
      <c r="Q55" s="66">
        <f t="shared" si="2"/>
        <v>10.000000000000014</v>
      </c>
      <c r="R55" s="66">
        <f t="shared" si="2"/>
        <v>10.000000000000014</v>
      </c>
      <c r="S55" s="66">
        <f t="shared" si="2"/>
        <v>10.000000000000014</v>
      </c>
      <c r="Y55" s="67">
        <f t="shared" si="3"/>
        <v>1.1000000000000001</v>
      </c>
    </row>
    <row r="56" spans="1:25" ht="37.5" x14ac:dyDescent="0.25">
      <c r="A56" s="82">
        <v>12</v>
      </c>
      <c r="B56" s="63" t="s">
        <v>162</v>
      </c>
      <c r="C56" s="66">
        <v>260</v>
      </c>
      <c r="D56" s="66">
        <v>124.8</v>
      </c>
      <c r="E56" s="66">
        <v>78</v>
      </c>
      <c r="F56" s="66">
        <f t="shared" si="0"/>
        <v>182</v>
      </c>
      <c r="G56" s="66">
        <f t="shared" si="0"/>
        <v>87.36</v>
      </c>
      <c r="H56" s="66">
        <f t="shared" si="0"/>
        <v>54.599999999999994</v>
      </c>
      <c r="I56" s="82">
        <v>12</v>
      </c>
      <c r="J56" s="63" t="s">
        <v>162</v>
      </c>
      <c r="K56" s="66">
        <f>260*1.1</f>
        <v>286</v>
      </c>
      <c r="L56" s="66">
        <f>125*1.1</f>
        <v>137.5</v>
      </c>
      <c r="M56" s="66">
        <f>78*1.1</f>
        <v>85.800000000000011</v>
      </c>
      <c r="N56" s="66">
        <f t="shared" si="1"/>
        <v>200.2</v>
      </c>
      <c r="O56" s="66">
        <f t="shared" si="1"/>
        <v>96.25</v>
      </c>
      <c r="P56" s="66">
        <f t="shared" si="1"/>
        <v>60.06</v>
      </c>
      <c r="Q56" s="66">
        <f t="shared" si="2"/>
        <v>9.9999999999999858</v>
      </c>
      <c r="R56" s="66">
        <f t="shared" si="2"/>
        <v>10.176282051282044</v>
      </c>
      <c r="S56" s="66">
        <f t="shared" si="2"/>
        <v>10.000000000000014</v>
      </c>
      <c r="Y56" s="67">
        <f t="shared" si="3"/>
        <v>1.1000000000000001</v>
      </c>
    </row>
    <row r="57" spans="1:25" ht="37.5" hidden="1" x14ac:dyDescent="0.25">
      <c r="A57" s="243">
        <v>13</v>
      </c>
      <c r="B57" s="246" t="s">
        <v>163</v>
      </c>
      <c r="C57" s="249"/>
      <c r="D57" s="249"/>
      <c r="E57" s="249"/>
      <c r="F57" s="249"/>
      <c r="G57" s="249"/>
      <c r="H57" s="249"/>
      <c r="I57" s="82">
        <v>13</v>
      </c>
      <c r="J57" s="63" t="s">
        <v>1039</v>
      </c>
      <c r="K57" s="66"/>
      <c r="L57" s="66"/>
      <c r="M57" s="66"/>
      <c r="N57" s="66"/>
      <c r="O57" s="66"/>
      <c r="P57" s="66"/>
      <c r="Q57" s="66"/>
      <c r="R57" s="66"/>
      <c r="S57" s="66"/>
      <c r="Y57" s="67" t="e">
        <f t="shared" si="3"/>
        <v>#DIV/0!</v>
      </c>
    </row>
    <row r="58" spans="1:25" ht="37.5" hidden="1" x14ac:dyDescent="0.25">
      <c r="A58" s="244"/>
      <c r="B58" s="247"/>
      <c r="C58" s="250"/>
      <c r="D58" s="250"/>
      <c r="E58" s="250"/>
      <c r="F58" s="250"/>
      <c r="G58" s="250"/>
      <c r="H58" s="250"/>
      <c r="I58" s="64" t="s">
        <v>614</v>
      </c>
      <c r="J58" s="70" t="s">
        <v>164</v>
      </c>
      <c r="K58" s="66"/>
      <c r="L58" s="66"/>
      <c r="M58" s="66"/>
      <c r="N58" s="66"/>
      <c r="O58" s="66"/>
      <c r="P58" s="66"/>
      <c r="Q58" s="66"/>
      <c r="R58" s="66"/>
      <c r="S58" s="66"/>
      <c r="T58" s="241" t="s">
        <v>165</v>
      </c>
      <c r="Y58" s="67"/>
    </row>
    <row r="59" spans="1:25" hidden="1" x14ac:dyDescent="0.25">
      <c r="A59" s="244"/>
      <c r="B59" s="247"/>
      <c r="C59" s="250"/>
      <c r="D59" s="250"/>
      <c r="E59" s="250"/>
      <c r="F59" s="250"/>
      <c r="G59" s="250"/>
      <c r="H59" s="250"/>
      <c r="I59" s="64" t="s">
        <v>615</v>
      </c>
      <c r="J59" s="70" t="s">
        <v>166</v>
      </c>
      <c r="K59" s="66"/>
      <c r="L59" s="66"/>
      <c r="M59" s="66"/>
      <c r="N59" s="66"/>
      <c r="O59" s="66"/>
      <c r="P59" s="66"/>
      <c r="Q59" s="66"/>
      <c r="R59" s="66"/>
      <c r="S59" s="66"/>
      <c r="T59" s="241"/>
      <c r="Y59" s="67"/>
    </row>
    <row r="60" spans="1:25" ht="37.5" hidden="1" x14ac:dyDescent="0.25">
      <c r="A60" s="244"/>
      <c r="B60" s="247"/>
      <c r="C60" s="250"/>
      <c r="D60" s="250"/>
      <c r="E60" s="250"/>
      <c r="F60" s="250"/>
      <c r="G60" s="250"/>
      <c r="H60" s="250"/>
      <c r="I60" s="64" t="s">
        <v>866</v>
      </c>
      <c r="J60" s="70" t="s">
        <v>867</v>
      </c>
      <c r="K60" s="66"/>
      <c r="L60" s="66"/>
      <c r="M60" s="66"/>
      <c r="N60" s="66"/>
      <c r="O60" s="66"/>
      <c r="P60" s="66"/>
      <c r="Q60" s="66"/>
      <c r="R60" s="66"/>
      <c r="S60" s="66"/>
      <c r="T60" s="80"/>
      <c r="Y60" s="67"/>
    </row>
    <row r="61" spans="1:25" hidden="1" x14ac:dyDescent="0.25">
      <c r="A61" s="245"/>
      <c r="B61" s="248"/>
      <c r="C61" s="251"/>
      <c r="D61" s="251"/>
      <c r="E61" s="251"/>
      <c r="F61" s="251"/>
      <c r="G61" s="251"/>
      <c r="H61" s="251"/>
      <c r="I61" s="64" t="s">
        <v>868</v>
      </c>
      <c r="J61" s="70" t="s">
        <v>869</v>
      </c>
      <c r="K61" s="66"/>
      <c r="L61" s="66"/>
      <c r="M61" s="66"/>
      <c r="N61" s="66"/>
      <c r="O61" s="66"/>
      <c r="P61" s="66"/>
      <c r="Q61" s="66"/>
      <c r="R61" s="66"/>
      <c r="S61" s="66"/>
      <c r="T61" s="80"/>
      <c r="Y61" s="67"/>
    </row>
    <row r="62" spans="1:25" ht="37.5" hidden="1" x14ac:dyDescent="0.25">
      <c r="A62" s="82">
        <v>14</v>
      </c>
      <c r="B62" s="63" t="s">
        <v>167</v>
      </c>
      <c r="C62" s="66"/>
      <c r="D62" s="66"/>
      <c r="E62" s="66"/>
      <c r="F62" s="66"/>
      <c r="G62" s="66"/>
      <c r="H62" s="66"/>
      <c r="I62" s="82">
        <v>14</v>
      </c>
      <c r="J62" s="63" t="s">
        <v>167</v>
      </c>
      <c r="K62" s="66"/>
      <c r="L62" s="66"/>
      <c r="M62" s="66"/>
      <c r="N62" s="66"/>
      <c r="O62" s="66"/>
      <c r="P62" s="66"/>
      <c r="Q62" s="66"/>
      <c r="R62" s="66"/>
      <c r="S62" s="66"/>
      <c r="Y62" s="67" t="e">
        <f t="shared" si="3"/>
        <v>#DIV/0!</v>
      </c>
    </row>
    <row r="63" spans="1:25" ht="37.5" hidden="1" x14ac:dyDescent="0.25">
      <c r="A63" s="82">
        <v>15</v>
      </c>
      <c r="B63" s="63" t="s">
        <v>168</v>
      </c>
      <c r="C63" s="66"/>
      <c r="D63" s="66"/>
      <c r="E63" s="66"/>
      <c r="F63" s="66"/>
      <c r="G63" s="66"/>
      <c r="H63" s="66"/>
      <c r="I63" s="82">
        <v>15</v>
      </c>
      <c r="J63" s="63" t="s">
        <v>169</v>
      </c>
      <c r="K63" s="66"/>
      <c r="L63" s="66"/>
      <c r="M63" s="66"/>
      <c r="N63" s="66"/>
      <c r="O63" s="66"/>
      <c r="P63" s="66"/>
      <c r="Q63" s="66"/>
      <c r="R63" s="66"/>
      <c r="S63" s="66"/>
      <c r="T63" s="60" t="s">
        <v>138</v>
      </c>
      <c r="Y63" s="67" t="e">
        <f t="shared" si="3"/>
        <v>#DIV/0!</v>
      </c>
    </row>
    <row r="64" spans="1:25" x14ac:dyDescent="0.25">
      <c r="A64" s="82">
        <v>16</v>
      </c>
      <c r="B64" s="63" t="s">
        <v>170</v>
      </c>
      <c r="C64" s="66">
        <v>3000</v>
      </c>
      <c r="D64" s="66">
        <v>1200</v>
      </c>
      <c r="E64" s="66">
        <v>900</v>
      </c>
      <c r="F64" s="66">
        <f t="shared" si="0"/>
        <v>2100</v>
      </c>
      <c r="G64" s="66">
        <f t="shared" si="0"/>
        <v>840</v>
      </c>
      <c r="H64" s="66">
        <f t="shared" si="0"/>
        <v>630</v>
      </c>
      <c r="I64" s="82">
        <v>13</v>
      </c>
      <c r="J64" s="63" t="s">
        <v>765</v>
      </c>
      <c r="K64" s="66">
        <f>3000*1.1</f>
        <v>3300.0000000000005</v>
      </c>
      <c r="L64" s="66">
        <f>1200*1.1</f>
        <v>1320</v>
      </c>
      <c r="M64" s="66">
        <f>900*1.1</f>
        <v>990.00000000000011</v>
      </c>
      <c r="N64" s="66">
        <f t="shared" si="1"/>
        <v>2310</v>
      </c>
      <c r="O64" s="66">
        <f t="shared" si="1"/>
        <v>923.99999999999989</v>
      </c>
      <c r="P64" s="66">
        <f t="shared" si="1"/>
        <v>693</v>
      </c>
      <c r="Q64" s="66">
        <f t="shared" si="2"/>
        <v>10.000000000000014</v>
      </c>
      <c r="R64" s="66">
        <f t="shared" si="2"/>
        <v>9.9999999999999858</v>
      </c>
      <c r="S64" s="66">
        <f t="shared" si="2"/>
        <v>10.000000000000014</v>
      </c>
      <c r="Y64" s="67">
        <f t="shared" si="3"/>
        <v>1.1000000000000001</v>
      </c>
    </row>
    <row r="65" spans="1:25" ht="93.75" x14ac:dyDescent="0.25">
      <c r="A65" s="82">
        <v>17</v>
      </c>
      <c r="B65" s="63" t="s">
        <v>171</v>
      </c>
      <c r="C65" s="66">
        <v>3500</v>
      </c>
      <c r="D65" s="66"/>
      <c r="E65" s="66"/>
      <c r="F65" s="66">
        <f t="shared" si="0"/>
        <v>2450</v>
      </c>
      <c r="G65" s="66"/>
      <c r="H65" s="66"/>
      <c r="I65" s="82">
        <v>14</v>
      </c>
      <c r="J65" s="63" t="s">
        <v>171</v>
      </c>
      <c r="K65" s="66">
        <f>3500*1.1</f>
        <v>3850.0000000000005</v>
      </c>
      <c r="L65" s="66"/>
      <c r="M65" s="66"/>
      <c r="N65" s="66">
        <f t="shared" si="1"/>
        <v>2695</v>
      </c>
      <c r="O65" s="66"/>
      <c r="P65" s="66"/>
      <c r="Q65" s="66">
        <f t="shared" si="2"/>
        <v>10.000000000000014</v>
      </c>
      <c r="R65" s="66"/>
      <c r="S65" s="66"/>
      <c r="Y65" s="67">
        <f t="shared" si="3"/>
        <v>1.1000000000000001</v>
      </c>
    </row>
    <row r="66" spans="1:25" ht="75" x14ac:dyDescent="0.25">
      <c r="A66" s="82">
        <v>18</v>
      </c>
      <c r="B66" s="63" t="s">
        <v>172</v>
      </c>
      <c r="C66" s="66">
        <v>2200</v>
      </c>
      <c r="D66" s="66"/>
      <c r="E66" s="66"/>
      <c r="F66" s="66">
        <f t="shared" si="0"/>
        <v>1540</v>
      </c>
      <c r="G66" s="66"/>
      <c r="H66" s="66"/>
      <c r="I66" s="82">
        <v>15</v>
      </c>
      <c r="J66" s="63" t="s">
        <v>173</v>
      </c>
      <c r="K66" s="66">
        <f>2200*1.1</f>
        <v>2420</v>
      </c>
      <c r="L66" s="66"/>
      <c r="M66" s="66"/>
      <c r="N66" s="66">
        <f t="shared" si="1"/>
        <v>1694</v>
      </c>
      <c r="O66" s="66"/>
      <c r="P66" s="66"/>
      <c r="Q66" s="66">
        <f t="shared" si="2"/>
        <v>10.000000000000014</v>
      </c>
      <c r="R66" s="66"/>
      <c r="S66" s="66"/>
      <c r="T66" s="67">
        <f>K66/C66</f>
        <v>1.1000000000000001</v>
      </c>
      <c r="Y66" s="67">
        <f t="shared" si="3"/>
        <v>1.1000000000000001</v>
      </c>
    </row>
    <row r="67" spans="1:25" ht="44.25" customHeight="1" x14ac:dyDescent="0.25">
      <c r="A67" s="82">
        <v>19</v>
      </c>
      <c r="B67" s="63" t="s">
        <v>174</v>
      </c>
      <c r="C67" s="66">
        <v>1700</v>
      </c>
      <c r="D67" s="66"/>
      <c r="E67" s="66"/>
      <c r="F67" s="66">
        <f t="shared" si="0"/>
        <v>1190</v>
      </c>
      <c r="G67" s="66"/>
      <c r="H67" s="66"/>
      <c r="I67" s="82">
        <v>16</v>
      </c>
      <c r="J67" s="63" t="s">
        <v>174</v>
      </c>
      <c r="K67" s="66">
        <f>1700*1.1</f>
        <v>1870.0000000000002</v>
      </c>
      <c r="L67" s="66"/>
      <c r="M67" s="66"/>
      <c r="N67" s="66">
        <f t="shared" si="1"/>
        <v>1309</v>
      </c>
      <c r="O67" s="66"/>
      <c r="P67" s="66"/>
      <c r="Q67" s="66">
        <f t="shared" si="2"/>
        <v>10.000000000000014</v>
      </c>
      <c r="R67" s="66"/>
      <c r="S67" s="66"/>
      <c r="Y67" s="67">
        <f t="shared" si="3"/>
        <v>1.1000000000000001</v>
      </c>
    </row>
    <row r="68" spans="1:25" ht="37.5" x14ac:dyDescent="0.25">
      <c r="A68" s="82">
        <v>20</v>
      </c>
      <c r="B68" s="63" t="s">
        <v>175</v>
      </c>
      <c r="C68" s="66">
        <v>2500</v>
      </c>
      <c r="D68" s="66"/>
      <c r="E68" s="66"/>
      <c r="F68" s="66">
        <f t="shared" si="0"/>
        <v>1750</v>
      </c>
      <c r="G68" s="66"/>
      <c r="H68" s="66"/>
      <c r="I68" s="82">
        <v>17</v>
      </c>
      <c r="J68" s="63" t="s">
        <v>175</v>
      </c>
      <c r="K68" s="66">
        <f>2500*1.1</f>
        <v>2750</v>
      </c>
      <c r="L68" s="66"/>
      <c r="M68" s="66"/>
      <c r="N68" s="66">
        <f t="shared" si="1"/>
        <v>1924.9999999999998</v>
      </c>
      <c r="O68" s="66"/>
      <c r="P68" s="66"/>
      <c r="Q68" s="66">
        <f t="shared" si="2"/>
        <v>9.9999999999999858</v>
      </c>
      <c r="R68" s="66"/>
      <c r="S68" s="66"/>
      <c r="Y68" s="67">
        <f t="shared" si="3"/>
        <v>1.1000000000000001</v>
      </c>
    </row>
    <row r="69" spans="1:25" ht="56.25" x14ac:dyDescent="0.25">
      <c r="A69" s="64"/>
      <c r="B69" s="71"/>
      <c r="C69" s="64"/>
      <c r="D69" s="64"/>
      <c r="E69" s="64"/>
      <c r="F69" s="64"/>
      <c r="G69" s="64"/>
      <c r="H69" s="64"/>
      <c r="I69" s="82">
        <v>18</v>
      </c>
      <c r="J69" s="63" t="s">
        <v>1059</v>
      </c>
      <c r="K69" s="66">
        <v>2500</v>
      </c>
      <c r="L69" s="24">
        <v>1000</v>
      </c>
      <c r="M69" s="64"/>
      <c r="N69" s="66">
        <f>2500*70%</f>
        <v>1750</v>
      </c>
      <c r="O69" s="66">
        <f>L69*70%</f>
        <v>700</v>
      </c>
      <c r="P69" s="64"/>
      <c r="Q69" s="66"/>
      <c r="R69" s="66"/>
      <c r="S69" s="66"/>
      <c r="T69" s="242" t="s">
        <v>176</v>
      </c>
      <c r="Y69" s="67"/>
    </row>
    <row r="70" spans="1:25" ht="56.25" x14ac:dyDescent="0.25">
      <c r="A70" s="64"/>
      <c r="B70" s="71"/>
      <c r="C70" s="64"/>
      <c r="D70" s="64"/>
      <c r="E70" s="64"/>
      <c r="F70" s="64"/>
      <c r="G70" s="64"/>
      <c r="H70" s="64"/>
      <c r="I70" s="82">
        <v>19</v>
      </c>
      <c r="J70" s="63" t="s">
        <v>766</v>
      </c>
      <c r="K70" s="66">
        <v>3000</v>
      </c>
      <c r="L70" s="24">
        <v>1200</v>
      </c>
      <c r="M70" s="64"/>
      <c r="N70" s="66">
        <f>K70*70%</f>
        <v>2100</v>
      </c>
      <c r="O70" s="66">
        <f>L70*70%</f>
        <v>840</v>
      </c>
      <c r="P70" s="64"/>
      <c r="Q70" s="66"/>
      <c r="R70" s="66"/>
      <c r="S70" s="66"/>
      <c r="T70" s="242"/>
      <c r="Y70" s="67"/>
    </row>
    <row r="71" spans="1:25" ht="49.5" customHeight="1" x14ac:dyDescent="0.25">
      <c r="A71" s="64"/>
      <c r="B71" s="71"/>
      <c r="C71" s="64"/>
      <c r="D71" s="64"/>
      <c r="E71" s="64"/>
      <c r="F71" s="64"/>
      <c r="G71" s="64"/>
      <c r="H71" s="64"/>
      <c r="I71" s="82">
        <v>20</v>
      </c>
      <c r="J71" s="63" t="s">
        <v>177</v>
      </c>
      <c r="K71" s="66">
        <v>2000</v>
      </c>
      <c r="L71" s="24">
        <f>K71/2.5</f>
        <v>800</v>
      </c>
      <c r="M71" s="64"/>
      <c r="N71" s="66">
        <f>K71*70%</f>
        <v>1400</v>
      </c>
      <c r="O71" s="66">
        <f>L71*70%</f>
        <v>560</v>
      </c>
      <c r="P71" s="64"/>
      <c r="Q71" s="66"/>
      <c r="R71" s="66"/>
      <c r="S71" s="66"/>
      <c r="T71" s="242"/>
      <c r="Y71" s="67"/>
    </row>
  </sheetData>
  <mergeCells count="26">
    <mergeCell ref="A1:S1"/>
    <mergeCell ref="C2:E2"/>
    <mergeCell ref="K2:M2"/>
    <mergeCell ref="N2:P2"/>
    <mergeCell ref="A3:A4"/>
    <mergeCell ref="B3:B4"/>
    <mergeCell ref="C3:E3"/>
    <mergeCell ref="F3:H3"/>
    <mergeCell ref="I3:I4"/>
    <mergeCell ref="J3:J4"/>
    <mergeCell ref="K3:M3"/>
    <mergeCell ref="N3:P3"/>
    <mergeCell ref="Q3:S3"/>
    <mergeCell ref="A5:H5"/>
    <mergeCell ref="I5:P5"/>
    <mergeCell ref="Q5:S5"/>
    <mergeCell ref="G57:G61"/>
    <mergeCell ref="H57:H61"/>
    <mergeCell ref="T58:T59"/>
    <mergeCell ref="T69:T71"/>
    <mergeCell ref="A57:A61"/>
    <mergeCell ref="B57:B61"/>
    <mergeCell ref="C57:C61"/>
    <mergeCell ref="D57:D61"/>
    <mergeCell ref="E57:E61"/>
    <mergeCell ref="F57:F61"/>
  </mergeCells>
  <pageMargins left="0.28740157500000002" right="0.240551181" top="0.49055118110236201" bottom="0.240551181" header="0.118110236220472" footer="0.118110236220472"/>
  <pageSetup paperSize="9" scale="80" firstPageNumber="20" orientation="portrait" useFirstPageNumber="1" r:id="rId1"/>
  <headerFooter>
    <oddHeader>&amp;C&amp;P</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1"/>
  <sheetViews>
    <sheetView topLeftCell="G1" zoomScaleNormal="100" zoomScalePageLayoutView="85" workbookViewId="0">
      <selection activeCell="S7" sqref="S7"/>
    </sheetView>
  </sheetViews>
  <sheetFormatPr defaultRowHeight="18.75" x14ac:dyDescent="0.3"/>
  <cols>
    <col min="1" max="1" width="5.85546875" style="3" hidden="1" customWidth="1"/>
    <col min="2" max="2" width="47.140625" style="3" hidden="1" customWidth="1"/>
    <col min="3" max="6" width="8.7109375" style="39" hidden="1" customWidth="1"/>
    <col min="7" max="7" width="6.5703125" style="3" customWidth="1"/>
    <col min="8" max="8" width="62.7109375" style="3" customWidth="1"/>
    <col min="9" max="9" width="12.140625" style="3" hidden="1" customWidth="1"/>
    <col min="10" max="10" width="13.7109375" style="3" customWidth="1"/>
    <col min="11" max="11" width="0.7109375" style="3" hidden="1" customWidth="1"/>
    <col min="12" max="12" width="12.5703125" style="3" customWidth="1"/>
    <col min="13" max="13" width="12.140625" style="3" hidden="1" customWidth="1"/>
    <col min="14" max="14" width="15.140625" style="3" customWidth="1"/>
    <col min="15" max="17" width="12.140625" style="3" hidden="1" customWidth="1"/>
    <col min="18" max="249" width="9.140625" style="3"/>
    <col min="250" max="255" width="0" style="3" hidden="1" customWidth="1"/>
    <col min="256" max="256" width="6.5703125" style="3" customWidth="1"/>
    <col min="257" max="257" width="58" style="3" customWidth="1"/>
    <col min="258" max="258" width="0" style="3" hidden="1" customWidth="1"/>
    <col min="259" max="259" width="12.140625" style="3" customWidth="1"/>
    <col min="260" max="260" width="0" style="3" hidden="1" customWidth="1"/>
    <col min="261" max="261" width="12.140625" style="3" customWidth="1"/>
    <col min="262" max="262" width="0" style="3" hidden="1" customWidth="1"/>
    <col min="263" max="263" width="12.140625" style="3" customWidth="1"/>
    <col min="264" max="264" width="0" style="3" hidden="1" customWidth="1"/>
    <col min="265" max="265" width="12.140625" style="3" customWidth="1"/>
    <col min="266" max="266" width="0" style="3" hidden="1" customWidth="1"/>
    <col min="267" max="267" width="10.42578125" style="3" customWidth="1"/>
    <col min="268" max="268" width="0" style="3" hidden="1" customWidth="1"/>
    <col min="269" max="269" width="10.42578125" style="3" customWidth="1"/>
    <col min="270" max="270" width="0" style="3" hidden="1" customWidth="1"/>
    <col min="271" max="271" width="10.42578125" style="3" customWidth="1"/>
    <col min="272" max="272" width="0" style="3" hidden="1" customWidth="1"/>
    <col min="273" max="273" width="10.42578125" style="3" customWidth="1"/>
    <col min="274" max="505" width="9.140625" style="3"/>
    <col min="506" max="511" width="0" style="3" hidden="1" customWidth="1"/>
    <col min="512" max="512" width="6.5703125" style="3" customWidth="1"/>
    <col min="513" max="513" width="58" style="3" customWidth="1"/>
    <col min="514" max="514" width="0" style="3" hidden="1" customWidth="1"/>
    <col min="515" max="515" width="12.140625" style="3" customWidth="1"/>
    <col min="516" max="516" width="0" style="3" hidden="1" customWidth="1"/>
    <col min="517" max="517" width="12.140625" style="3" customWidth="1"/>
    <col min="518" max="518" width="0" style="3" hidden="1" customWidth="1"/>
    <col min="519" max="519" width="12.140625" style="3" customWidth="1"/>
    <col min="520" max="520" width="0" style="3" hidden="1" customWidth="1"/>
    <col min="521" max="521" width="12.140625" style="3" customWidth="1"/>
    <col min="522" max="522" width="0" style="3" hidden="1" customWidth="1"/>
    <col min="523" max="523" width="10.42578125" style="3" customWidth="1"/>
    <col min="524" max="524" width="0" style="3" hidden="1" customWidth="1"/>
    <col min="525" max="525" width="10.42578125" style="3" customWidth="1"/>
    <col min="526" max="526" width="0" style="3" hidden="1" customWidth="1"/>
    <col min="527" max="527" width="10.42578125" style="3" customWidth="1"/>
    <col min="528" max="528" width="0" style="3" hidden="1" customWidth="1"/>
    <col min="529" max="529" width="10.42578125" style="3" customWidth="1"/>
    <col min="530" max="761" width="9.140625" style="3"/>
    <col min="762" max="767" width="0" style="3" hidden="1" customWidth="1"/>
    <col min="768" max="768" width="6.5703125" style="3" customWidth="1"/>
    <col min="769" max="769" width="58" style="3" customWidth="1"/>
    <col min="770" max="770" width="0" style="3" hidden="1" customWidth="1"/>
    <col min="771" max="771" width="12.140625" style="3" customWidth="1"/>
    <col min="772" max="772" width="0" style="3" hidden="1" customWidth="1"/>
    <col min="773" max="773" width="12.140625" style="3" customWidth="1"/>
    <col min="774" max="774" width="0" style="3" hidden="1" customWidth="1"/>
    <col min="775" max="775" width="12.140625" style="3" customWidth="1"/>
    <col min="776" max="776" width="0" style="3" hidden="1" customWidth="1"/>
    <col min="777" max="777" width="12.140625" style="3" customWidth="1"/>
    <col min="778" max="778" width="0" style="3" hidden="1" customWidth="1"/>
    <col min="779" max="779" width="10.42578125" style="3" customWidth="1"/>
    <col min="780" max="780" width="0" style="3" hidden="1" customWidth="1"/>
    <col min="781" max="781" width="10.42578125" style="3" customWidth="1"/>
    <col min="782" max="782" width="0" style="3" hidden="1" customWidth="1"/>
    <col min="783" max="783" width="10.42578125" style="3" customWidth="1"/>
    <col min="784" max="784" width="0" style="3" hidden="1" customWidth="1"/>
    <col min="785" max="785" width="10.42578125" style="3" customWidth="1"/>
    <col min="786" max="1017" width="9.140625" style="3"/>
    <col min="1018" max="1023" width="0" style="3" hidden="1" customWidth="1"/>
    <col min="1024" max="1024" width="6.5703125" style="3" customWidth="1"/>
    <col min="1025" max="1025" width="58" style="3" customWidth="1"/>
    <col min="1026" max="1026" width="0" style="3" hidden="1" customWidth="1"/>
    <col min="1027" max="1027" width="12.140625" style="3" customWidth="1"/>
    <col min="1028" max="1028" width="0" style="3" hidden="1" customWidth="1"/>
    <col min="1029" max="1029" width="12.140625" style="3" customWidth="1"/>
    <col min="1030" max="1030" width="0" style="3" hidden="1" customWidth="1"/>
    <col min="1031" max="1031" width="12.140625" style="3" customWidth="1"/>
    <col min="1032" max="1032" width="0" style="3" hidden="1" customWidth="1"/>
    <col min="1033" max="1033" width="12.140625" style="3" customWidth="1"/>
    <col min="1034" max="1034" width="0" style="3" hidden="1" customWidth="1"/>
    <col min="1035" max="1035" width="10.42578125" style="3" customWidth="1"/>
    <col min="1036" max="1036" width="0" style="3" hidden="1" customWidth="1"/>
    <col min="1037" max="1037" width="10.42578125" style="3" customWidth="1"/>
    <col min="1038" max="1038" width="0" style="3" hidden="1" customWidth="1"/>
    <col min="1039" max="1039" width="10.42578125" style="3" customWidth="1"/>
    <col min="1040" max="1040" width="0" style="3" hidden="1" customWidth="1"/>
    <col min="1041" max="1041" width="10.42578125" style="3" customWidth="1"/>
    <col min="1042" max="1273" width="9.140625" style="3"/>
    <col min="1274" max="1279" width="0" style="3" hidden="1" customWidth="1"/>
    <col min="1280" max="1280" width="6.5703125" style="3" customWidth="1"/>
    <col min="1281" max="1281" width="58" style="3" customWidth="1"/>
    <col min="1282" max="1282" width="0" style="3" hidden="1" customWidth="1"/>
    <col min="1283" max="1283" width="12.140625" style="3" customWidth="1"/>
    <col min="1284" max="1284" width="0" style="3" hidden="1" customWidth="1"/>
    <col min="1285" max="1285" width="12.140625" style="3" customWidth="1"/>
    <col min="1286" max="1286" width="0" style="3" hidden="1" customWidth="1"/>
    <col min="1287" max="1287" width="12.140625" style="3" customWidth="1"/>
    <col min="1288" max="1288" width="0" style="3" hidden="1" customWidth="1"/>
    <col min="1289" max="1289" width="12.140625" style="3" customWidth="1"/>
    <col min="1290" max="1290" width="0" style="3" hidden="1" customWidth="1"/>
    <col min="1291" max="1291" width="10.42578125" style="3" customWidth="1"/>
    <col min="1292" max="1292" width="0" style="3" hidden="1" customWidth="1"/>
    <col min="1293" max="1293" width="10.42578125" style="3" customWidth="1"/>
    <col min="1294" max="1294" width="0" style="3" hidden="1" customWidth="1"/>
    <col min="1295" max="1295" width="10.42578125" style="3" customWidth="1"/>
    <col min="1296" max="1296" width="0" style="3" hidden="1" customWidth="1"/>
    <col min="1297" max="1297" width="10.42578125" style="3" customWidth="1"/>
    <col min="1298" max="1529" width="9.140625" style="3"/>
    <col min="1530" max="1535" width="0" style="3" hidden="1" customWidth="1"/>
    <col min="1536" max="1536" width="6.5703125" style="3" customWidth="1"/>
    <col min="1537" max="1537" width="58" style="3" customWidth="1"/>
    <col min="1538" max="1538" width="0" style="3" hidden="1" customWidth="1"/>
    <col min="1539" max="1539" width="12.140625" style="3" customWidth="1"/>
    <col min="1540" max="1540" width="0" style="3" hidden="1" customWidth="1"/>
    <col min="1541" max="1541" width="12.140625" style="3" customWidth="1"/>
    <col min="1542" max="1542" width="0" style="3" hidden="1" customWidth="1"/>
    <col min="1543" max="1543" width="12.140625" style="3" customWidth="1"/>
    <col min="1544" max="1544" width="0" style="3" hidden="1" customWidth="1"/>
    <col min="1545" max="1545" width="12.140625" style="3" customWidth="1"/>
    <col min="1546" max="1546" width="0" style="3" hidden="1" customWidth="1"/>
    <col min="1547" max="1547" width="10.42578125" style="3" customWidth="1"/>
    <col min="1548" max="1548" width="0" style="3" hidden="1" customWidth="1"/>
    <col min="1549" max="1549" width="10.42578125" style="3" customWidth="1"/>
    <col min="1550" max="1550" width="0" style="3" hidden="1" customWidth="1"/>
    <col min="1551" max="1551" width="10.42578125" style="3" customWidth="1"/>
    <col min="1552" max="1552" width="0" style="3" hidden="1" customWidth="1"/>
    <col min="1553" max="1553" width="10.42578125" style="3" customWidth="1"/>
    <col min="1554" max="1785" width="9.140625" style="3"/>
    <col min="1786" max="1791" width="0" style="3" hidden="1" customWidth="1"/>
    <col min="1792" max="1792" width="6.5703125" style="3" customWidth="1"/>
    <col min="1793" max="1793" width="58" style="3" customWidth="1"/>
    <col min="1794" max="1794" width="0" style="3" hidden="1" customWidth="1"/>
    <col min="1795" max="1795" width="12.140625" style="3" customWidth="1"/>
    <col min="1796" max="1796" width="0" style="3" hidden="1" customWidth="1"/>
    <col min="1797" max="1797" width="12.140625" style="3" customWidth="1"/>
    <col min="1798" max="1798" width="0" style="3" hidden="1" customWidth="1"/>
    <col min="1799" max="1799" width="12.140625" style="3" customWidth="1"/>
    <col min="1800" max="1800" width="0" style="3" hidden="1" customWidth="1"/>
    <col min="1801" max="1801" width="12.140625" style="3" customWidth="1"/>
    <col min="1802" max="1802" width="0" style="3" hidden="1" customWidth="1"/>
    <col min="1803" max="1803" width="10.42578125" style="3" customWidth="1"/>
    <col min="1804" max="1804" width="0" style="3" hidden="1" customWidth="1"/>
    <col min="1805" max="1805" width="10.42578125" style="3" customWidth="1"/>
    <col min="1806" max="1806" width="0" style="3" hidden="1" customWidth="1"/>
    <col min="1807" max="1807" width="10.42578125" style="3" customWidth="1"/>
    <col min="1808" max="1808" width="0" style="3" hidden="1" customWidth="1"/>
    <col min="1809" max="1809" width="10.42578125" style="3" customWidth="1"/>
    <col min="1810" max="2041" width="9.140625" style="3"/>
    <col min="2042" max="2047" width="0" style="3" hidden="1" customWidth="1"/>
    <col min="2048" max="2048" width="6.5703125" style="3" customWidth="1"/>
    <col min="2049" max="2049" width="58" style="3" customWidth="1"/>
    <col min="2050" max="2050" width="0" style="3" hidden="1" customWidth="1"/>
    <col min="2051" max="2051" width="12.140625" style="3" customWidth="1"/>
    <col min="2052" max="2052" width="0" style="3" hidden="1" customWidth="1"/>
    <col min="2053" max="2053" width="12.140625" style="3" customWidth="1"/>
    <col min="2054" max="2054" width="0" style="3" hidden="1" customWidth="1"/>
    <col min="2055" max="2055" width="12.140625" style="3" customWidth="1"/>
    <col min="2056" max="2056" width="0" style="3" hidden="1" customWidth="1"/>
    <col min="2057" max="2057" width="12.140625" style="3" customWidth="1"/>
    <col min="2058" max="2058" width="0" style="3" hidden="1" customWidth="1"/>
    <col min="2059" max="2059" width="10.42578125" style="3" customWidth="1"/>
    <col min="2060" max="2060" width="0" style="3" hidden="1" customWidth="1"/>
    <col min="2061" max="2061" width="10.42578125" style="3" customWidth="1"/>
    <col min="2062" max="2062" width="0" style="3" hidden="1" customWidth="1"/>
    <col min="2063" max="2063" width="10.42578125" style="3" customWidth="1"/>
    <col min="2064" max="2064" width="0" style="3" hidden="1" customWidth="1"/>
    <col min="2065" max="2065" width="10.42578125" style="3" customWidth="1"/>
    <col min="2066" max="2297" width="9.140625" style="3"/>
    <col min="2298" max="2303" width="0" style="3" hidden="1" customWidth="1"/>
    <col min="2304" max="2304" width="6.5703125" style="3" customWidth="1"/>
    <col min="2305" max="2305" width="58" style="3" customWidth="1"/>
    <col min="2306" max="2306" width="0" style="3" hidden="1" customWidth="1"/>
    <col min="2307" max="2307" width="12.140625" style="3" customWidth="1"/>
    <col min="2308" max="2308" width="0" style="3" hidden="1" customWidth="1"/>
    <col min="2309" max="2309" width="12.140625" style="3" customWidth="1"/>
    <col min="2310" max="2310" width="0" style="3" hidden="1" customWidth="1"/>
    <col min="2311" max="2311" width="12.140625" style="3" customWidth="1"/>
    <col min="2312" max="2312" width="0" style="3" hidden="1" customWidth="1"/>
    <col min="2313" max="2313" width="12.140625" style="3" customWidth="1"/>
    <col min="2314" max="2314" width="0" style="3" hidden="1" customWidth="1"/>
    <col min="2315" max="2315" width="10.42578125" style="3" customWidth="1"/>
    <col min="2316" max="2316" width="0" style="3" hidden="1" customWidth="1"/>
    <col min="2317" max="2317" width="10.42578125" style="3" customWidth="1"/>
    <col min="2318" max="2318" width="0" style="3" hidden="1" customWidth="1"/>
    <col min="2319" max="2319" width="10.42578125" style="3" customWidth="1"/>
    <col min="2320" max="2320" width="0" style="3" hidden="1" customWidth="1"/>
    <col min="2321" max="2321" width="10.42578125" style="3" customWidth="1"/>
    <col min="2322" max="2553" width="9.140625" style="3"/>
    <col min="2554" max="2559" width="0" style="3" hidden="1" customWidth="1"/>
    <col min="2560" max="2560" width="6.5703125" style="3" customWidth="1"/>
    <col min="2561" max="2561" width="58" style="3" customWidth="1"/>
    <col min="2562" max="2562" width="0" style="3" hidden="1" customWidth="1"/>
    <col min="2563" max="2563" width="12.140625" style="3" customWidth="1"/>
    <col min="2564" max="2564" width="0" style="3" hidden="1" customWidth="1"/>
    <col min="2565" max="2565" width="12.140625" style="3" customWidth="1"/>
    <col min="2566" max="2566" width="0" style="3" hidden="1" customWidth="1"/>
    <col min="2567" max="2567" width="12.140625" style="3" customWidth="1"/>
    <col min="2568" max="2568" width="0" style="3" hidden="1" customWidth="1"/>
    <col min="2569" max="2569" width="12.140625" style="3" customWidth="1"/>
    <col min="2570" max="2570" width="0" style="3" hidden="1" customWidth="1"/>
    <col min="2571" max="2571" width="10.42578125" style="3" customWidth="1"/>
    <col min="2572" max="2572" width="0" style="3" hidden="1" customWidth="1"/>
    <col min="2573" max="2573" width="10.42578125" style="3" customWidth="1"/>
    <col min="2574" max="2574" width="0" style="3" hidden="1" customWidth="1"/>
    <col min="2575" max="2575" width="10.42578125" style="3" customWidth="1"/>
    <col min="2576" max="2576" width="0" style="3" hidden="1" customWidth="1"/>
    <col min="2577" max="2577" width="10.42578125" style="3" customWidth="1"/>
    <col min="2578" max="2809" width="9.140625" style="3"/>
    <col min="2810" max="2815" width="0" style="3" hidden="1" customWidth="1"/>
    <col min="2816" max="2816" width="6.5703125" style="3" customWidth="1"/>
    <col min="2817" max="2817" width="58" style="3" customWidth="1"/>
    <col min="2818" max="2818" width="0" style="3" hidden="1" customWidth="1"/>
    <col min="2819" max="2819" width="12.140625" style="3" customWidth="1"/>
    <col min="2820" max="2820" width="0" style="3" hidden="1" customWidth="1"/>
    <col min="2821" max="2821" width="12.140625" style="3" customWidth="1"/>
    <col min="2822" max="2822" width="0" style="3" hidden="1" customWidth="1"/>
    <col min="2823" max="2823" width="12.140625" style="3" customWidth="1"/>
    <col min="2824" max="2824" width="0" style="3" hidden="1" customWidth="1"/>
    <col min="2825" max="2825" width="12.140625" style="3" customWidth="1"/>
    <col min="2826" max="2826" width="0" style="3" hidden="1" customWidth="1"/>
    <col min="2827" max="2827" width="10.42578125" style="3" customWidth="1"/>
    <col min="2828" max="2828" width="0" style="3" hidden="1" customWidth="1"/>
    <col min="2829" max="2829" width="10.42578125" style="3" customWidth="1"/>
    <col min="2830" max="2830" width="0" style="3" hidden="1" customWidth="1"/>
    <col min="2831" max="2831" width="10.42578125" style="3" customWidth="1"/>
    <col min="2832" max="2832" width="0" style="3" hidden="1" customWidth="1"/>
    <col min="2833" max="2833" width="10.42578125" style="3" customWidth="1"/>
    <col min="2834" max="3065" width="9.140625" style="3"/>
    <col min="3066" max="3071" width="0" style="3" hidden="1" customWidth="1"/>
    <col min="3072" max="3072" width="6.5703125" style="3" customWidth="1"/>
    <col min="3073" max="3073" width="58" style="3" customWidth="1"/>
    <col min="3074" max="3074" width="0" style="3" hidden="1" customWidth="1"/>
    <col min="3075" max="3075" width="12.140625" style="3" customWidth="1"/>
    <col min="3076" max="3076" width="0" style="3" hidden="1" customWidth="1"/>
    <col min="3077" max="3077" width="12.140625" style="3" customWidth="1"/>
    <col min="3078" max="3078" width="0" style="3" hidden="1" customWidth="1"/>
    <col min="3079" max="3079" width="12.140625" style="3" customWidth="1"/>
    <col min="3080" max="3080" width="0" style="3" hidden="1" customWidth="1"/>
    <col min="3081" max="3081" width="12.140625" style="3" customWidth="1"/>
    <col min="3082" max="3082" width="0" style="3" hidden="1" customWidth="1"/>
    <col min="3083" max="3083" width="10.42578125" style="3" customWidth="1"/>
    <col min="3084" max="3084" width="0" style="3" hidden="1" customWidth="1"/>
    <col min="3085" max="3085" width="10.42578125" style="3" customWidth="1"/>
    <col min="3086" max="3086" width="0" style="3" hidden="1" customWidth="1"/>
    <col min="3087" max="3087" width="10.42578125" style="3" customWidth="1"/>
    <col min="3088" max="3088" width="0" style="3" hidden="1" customWidth="1"/>
    <col min="3089" max="3089" width="10.42578125" style="3" customWidth="1"/>
    <col min="3090" max="3321" width="9.140625" style="3"/>
    <col min="3322" max="3327" width="0" style="3" hidden="1" customWidth="1"/>
    <col min="3328" max="3328" width="6.5703125" style="3" customWidth="1"/>
    <col min="3329" max="3329" width="58" style="3" customWidth="1"/>
    <col min="3330" max="3330" width="0" style="3" hidden="1" customWidth="1"/>
    <col min="3331" max="3331" width="12.140625" style="3" customWidth="1"/>
    <col min="3332" max="3332" width="0" style="3" hidden="1" customWidth="1"/>
    <col min="3333" max="3333" width="12.140625" style="3" customWidth="1"/>
    <col min="3334" max="3334" width="0" style="3" hidden="1" customWidth="1"/>
    <col min="3335" max="3335" width="12.140625" style="3" customWidth="1"/>
    <col min="3336" max="3336" width="0" style="3" hidden="1" customWidth="1"/>
    <col min="3337" max="3337" width="12.140625" style="3" customWidth="1"/>
    <col min="3338" max="3338" width="0" style="3" hidden="1" customWidth="1"/>
    <col min="3339" max="3339" width="10.42578125" style="3" customWidth="1"/>
    <col min="3340" max="3340" width="0" style="3" hidden="1" customWidth="1"/>
    <col min="3341" max="3341" width="10.42578125" style="3" customWidth="1"/>
    <col min="3342" max="3342" width="0" style="3" hidden="1" customWidth="1"/>
    <col min="3343" max="3343" width="10.42578125" style="3" customWidth="1"/>
    <col min="3344" max="3344" width="0" style="3" hidden="1" customWidth="1"/>
    <col min="3345" max="3345" width="10.42578125" style="3" customWidth="1"/>
    <col min="3346" max="3577" width="9.140625" style="3"/>
    <col min="3578" max="3583" width="0" style="3" hidden="1" customWidth="1"/>
    <col min="3584" max="3584" width="6.5703125" style="3" customWidth="1"/>
    <col min="3585" max="3585" width="58" style="3" customWidth="1"/>
    <col min="3586" max="3586" width="0" style="3" hidden="1" customWidth="1"/>
    <col min="3587" max="3587" width="12.140625" style="3" customWidth="1"/>
    <col min="3588" max="3588" width="0" style="3" hidden="1" customWidth="1"/>
    <col min="3589" max="3589" width="12.140625" style="3" customWidth="1"/>
    <col min="3590" max="3590" width="0" style="3" hidden="1" customWidth="1"/>
    <col min="3591" max="3591" width="12.140625" style="3" customWidth="1"/>
    <col min="3592" max="3592" width="0" style="3" hidden="1" customWidth="1"/>
    <col min="3593" max="3593" width="12.140625" style="3" customWidth="1"/>
    <col min="3594" max="3594" width="0" style="3" hidden="1" customWidth="1"/>
    <col min="3595" max="3595" width="10.42578125" style="3" customWidth="1"/>
    <col min="3596" max="3596" width="0" style="3" hidden="1" customWidth="1"/>
    <col min="3597" max="3597" width="10.42578125" style="3" customWidth="1"/>
    <col min="3598" max="3598" width="0" style="3" hidden="1" customWidth="1"/>
    <col min="3599" max="3599" width="10.42578125" style="3" customWidth="1"/>
    <col min="3600" max="3600" width="0" style="3" hidden="1" customWidth="1"/>
    <col min="3601" max="3601" width="10.42578125" style="3" customWidth="1"/>
    <col min="3602" max="3833" width="9.140625" style="3"/>
    <col min="3834" max="3839" width="0" style="3" hidden="1" customWidth="1"/>
    <col min="3840" max="3840" width="6.5703125" style="3" customWidth="1"/>
    <col min="3841" max="3841" width="58" style="3" customWidth="1"/>
    <col min="3842" max="3842" width="0" style="3" hidden="1" customWidth="1"/>
    <col min="3843" max="3843" width="12.140625" style="3" customWidth="1"/>
    <col min="3844" max="3844" width="0" style="3" hidden="1" customWidth="1"/>
    <col min="3845" max="3845" width="12.140625" style="3" customWidth="1"/>
    <col min="3846" max="3846" width="0" style="3" hidden="1" customWidth="1"/>
    <col min="3847" max="3847" width="12.140625" style="3" customWidth="1"/>
    <col min="3848" max="3848" width="0" style="3" hidden="1" customWidth="1"/>
    <col min="3849" max="3849" width="12.140625" style="3" customWidth="1"/>
    <col min="3850" max="3850" width="0" style="3" hidden="1" customWidth="1"/>
    <col min="3851" max="3851" width="10.42578125" style="3" customWidth="1"/>
    <col min="3852" max="3852" width="0" style="3" hidden="1" customWidth="1"/>
    <col min="3853" max="3853" width="10.42578125" style="3" customWidth="1"/>
    <col min="3854" max="3854" width="0" style="3" hidden="1" customWidth="1"/>
    <col min="3855" max="3855" width="10.42578125" style="3" customWidth="1"/>
    <col min="3856" max="3856" width="0" style="3" hidden="1" customWidth="1"/>
    <col min="3857" max="3857" width="10.42578125" style="3" customWidth="1"/>
    <col min="3858" max="4089" width="9.140625" style="3"/>
    <col min="4090" max="4095" width="0" style="3" hidden="1" customWidth="1"/>
    <col min="4096" max="4096" width="6.5703125" style="3" customWidth="1"/>
    <col min="4097" max="4097" width="58" style="3" customWidth="1"/>
    <col min="4098" max="4098" width="0" style="3" hidden="1" customWidth="1"/>
    <col min="4099" max="4099" width="12.140625" style="3" customWidth="1"/>
    <col min="4100" max="4100" width="0" style="3" hidden="1" customWidth="1"/>
    <col min="4101" max="4101" width="12.140625" style="3" customWidth="1"/>
    <col min="4102" max="4102" width="0" style="3" hidden="1" customWidth="1"/>
    <col min="4103" max="4103" width="12.140625" style="3" customWidth="1"/>
    <col min="4104" max="4104" width="0" style="3" hidden="1" customWidth="1"/>
    <col min="4105" max="4105" width="12.140625" style="3" customWidth="1"/>
    <col min="4106" max="4106" width="0" style="3" hidden="1" customWidth="1"/>
    <col min="4107" max="4107" width="10.42578125" style="3" customWidth="1"/>
    <col min="4108" max="4108" width="0" style="3" hidden="1" customWidth="1"/>
    <col min="4109" max="4109" width="10.42578125" style="3" customWidth="1"/>
    <col min="4110" max="4110" width="0" style="3" hidden="1" customWidth="1"/>
    <col min="4111" max="4111" width="10.42578125" style="3" customWidth="1"/>
    <col min="4112" max="4112" width="0" style="3" hidden="1" customWidth="1"/>
    <col min="4113" max="4113" width="10.42578125" style="3" customWidth="1"/>
    <col min="4114" max="4345" width="9.140625" style="3"/>
    <col min="4346" max="4351" width="0" style="3" hidden="1" customWidth="1"/>
    <col min="4352" max="4352" width="6.5703125" style="3" customWidth="1"/>
    <col min="4353" max="4353" width="58" style="3" customWidth="1"/>
    <col min="4354" max="4354" width="0" style="3" hidden="1" customWidth="1"/>
    <col min="4355" max="4355" width="12.140625" style="3" customWidth="1"/>
    <col min="4356" max="4356" width="0" style="3" hidden="1" customWidth="1"/>
    <col min="4357" max="4357" width="12.140625" style="3" customWidth="1"/>
    <col min="4358" max="4358" width="0" style="3" hidden="1" customWidth="1"/>
    <col min="4359" max="4359" width="12.140625" style="3" customWidth="1"/>
    <col min="4360" max="4360" width="0" style="3" hidden="1" customWidth="1"/>
    <col min="4361" max="4361" width="12.140625" style="3" customWidth="1"/>
    <col min="4362" max="4362" width="0" style="3" hidden="1" customWidth="1"/>
    <col min="4363" max="4363" width="10.42578125" style="3" customWidth="1"/>
    <col min="4364" max="4364" width="0" style="3" hidden="1" customWidth="1"/>
    <col min="4365" max="4365" width="10.42578125" style="3" customWidth="1"/>
    <col min="4366" max="4366" width="0" style="3" hidden="1" customWidth="1"/>
    <col min="4367" max="4367" width="10.42578125" style="3" customWidth="1"/>
    <col min="4368" max="4368" width="0" style="3" hidden="1" customWidth="1"/>
    <col min="4369" max="4369" width="10.42578125" style="3" customWidth="1"/>
    <col min="4370" max="4601" width="9.140625" style="3"/>
    <col min="4602" max="4607" width="0" style="3" hidden="1" customWidth="1"/>
    <col min="4608" max="4608" width="6.5703125" style="3" customWidth="1"/>
    <col min="4609" max="4609" width="58" style="3" customWidth="1"/>
    <col min="4610" max="4610" width="0" style="3" hidden="1" customWidth="1"/>
    <col min="4611" max="4611" width="12.140625" style="3" customWidth="1"/>
    <col min="4612" max="4612" width="0" style="3" hidden="1" customWidth="1"/>
    <col min="4613" max="4613" width="12.140625" style="3" customWidth="1"/>
    <col min="4614" max="4614" width="0" style="3" hidden="1" customWidth="1"/>
    <col min="4615" max="4615" width="12.140625" style="3" customWidth="1"/>
    <col min="4616" max="4616" width="0" style="3" hidden="1" customWidth="1"/>
    <col min="4617" max="4617" width="12.140625" style="3" customWidth="1"/>
    <col min="4618" max="4618" width="0" style="3" hidden="1" customWidth="1"/>
    <col min="4619" max="4619" width="10.42578125" style="3" customWidth="1"/>
    <col min="4620" max="4620" width="0" style="3" hidden="1" customWidth="1"/>
    <col min="4621" max="4621" width="10.42578125" style="3" customWidth="1"/>
    <col min="4622" max="4622" width="0" style="3" hidden="1" customWidth="1"/>
    <col min="4623" max="4623" width="10.42578125" style="3" customWidth="1"/>
    <col min="4624" max="4624" width="0" style="3" hidden="1" customWidth="1"/>
    <col min="4625" max="4625" width="10.42578125" style="3" customWidth="1"/>
    <col min="4626" max="4857" width="9.140625" style="3"/>
    <col min="4858" max="4863" width="0" style="3" hidden="1" customWidth="1"/>
    <col min="4864" max="4864" width="6.5703125" style="3" customWidth="1"/>
    <col min="4865" max="4865" width="58" style="3" customWidth="1"/>
    <col min="4866" max="4866" width="0" style="3" hidden="1" customWidth="1"/>
    <col min="4867" max="4867" width="12.140625" style="3" customWidth="1"/>
    <col min="4868" max="4868" width="0" style="3" hidden="1" customWidth="1"/>
    <col min="4869" max="4869" width="12.140625" style="3" customWidth="1"/>
    <col min="4870" max="4870" width="0" style="3" hidden="1" customWidth="1"/>
    <col min="4871" max="4871" width="12.140625" style="3" customWidth="1"/>
    <col min="4872" max="4872" width="0" style="3" hidden="1" customWidth="1"/>
    <col min="4873" max="4873" width="12.140625" style="3" customWidth="1"/>
    <col min="4874" max="4874" width="0" style="3" hidden="1" customWidth="1"/>
    <col min="4875" max="4875" width="10.42578125" style="3" customWidth="1"/>
    <col min="4876" max="4876" width="0" style="3" hidden="1" customWidth="1"/>
    <col min="4877" max="4877" width="10.42578125" style="3" customWidth="1"/>
    <col min="4878" max="4878" width="0" style="3" hidden="1" customWidth="1"/>
    <col min="4879" max="4879" width="10.42578125" style="3" customWidth="1"/>
    <col min="4880" max="4880" width="0" style="3" hidden="1" customWidth="1"/>
    <col min="4881" max="4881" width="10.42578125" style="3" customWidth="1"/>
    <col min="4882" max="5113" width="9.140625" style="3"/>
    <col min="5114" max="5119" width="0" style="3" hidden="1" customWidth="1"/>
    <col min="5120" max="5120" width="6.5703125" style="3" customWidth="1"/>
    <col min="5121" max="5121" width="58" style="3" customWidth="1"/>
    <col min="5122" max="5122" width="0" style="3" hidden="1" customWidth="1"/>
    <col min="5123" max="5123" width="12.140625" style="3" customWidth="1"/>
    <col min="5124" max="5124" width="0" style="3" hidden="1" customWidth="1"/>
    <col min="5125" max="5125" width="12.140625" style="3" customWidth="1"/>
    <col min="5126" max="5126" width="0" style="3" hidden="1" customWidth="1"/>
    <col min="5127" max="5127" width="12.140625" style="3" customWidth="1"/>
    <col min="5128" max="5128" width="0" style="3" hidden="1" customWidth="1"/>
    <col min="5129" max="5129" width="12.140625" style="3" customWidth="1"/>
    <col min="5130" max="5130" width="0" style="3" hidden="1" customWidth="1"/>
    <col min="5131" max="5131" width="10.42578125" style="3" customWidth="1"/>
    <col min="5132" max="5132" width="0" style="3" hidden="1" customWidth="1"/>
    <col min="5133" max="5133" width="10.42578125" style="3" customWidth="1"/>
    <col min="5134" max="5134" width="0" style="3" hidden="1" customWidth="1"/>
    <col min="5135" max="5135" width="10.42578125" style="3" customWidth="1"/>
    <col min="5136" max="5136" width="0" style="3" hidden="1" customWidth="1"/>
    <col min="5137" max="5137" width="10.42578125" style="3" customWidth="1"/>
    <col min="5138" max="5369" width="9.140625" style="3"/>
    <col min="5370" max="5375" width="0" style="3" hidden="1" customWidth="1"/>
    <col min="5376" max="5376" width="6.5703125" style="3" customWidth="1"/>
    <col min="5377" max="5377" width="58" style="3" customWidth="1"/>
    <col min="5378" max="5378" width="0" style="3" hidden="1" customWidth="1"/>
    <col min="5379" max="5379" width="12.140625" style="3" customWidth="1"/>
    <col min="5380" max="5380" width="0" style="3" hidden="1" customWidth="1"/>
    <col min="5381" max="5381" width="12.140625" style="3" customWidth="1"/>
    <col min="5382" max="5382" width="0" style="3" hidden="1" customWidth="1"/>
    <col min="5383" max="5383" width="12.140625" style="3" customWidth="1"/>
    <col min="5384" max="5384" width="0" style="3" hidden="1" customWidth="1"/>
    <col min="5385" max="5385" width="12.140625" style="3" customWidth="1"/>
    <col min="5386" max="5386" width="0" style="3" hidden="1" customWidth="1"/>
    <col min="5387" max="5387" width="10.42578125" style="3" customWidth="1"/>
    <col min="5388" max="5388" width="0" style="3" hidden="1" customWidth="1"/>
    <col min="5389" max="5389" width="10.42578125" style="3" customWidth="1"/>
    <col min="5390" max="5390" width="0" style="3" hidden="1" customWidth="1"/>
    <col min="5391" max="5391" width="10.42578125" style="3" customWidth="1"/>
    <col min="5392" max="5392" width="0" style="3" hidden="1" customWidth="1"/>
    <col min="5393" max="5393" width="10.42578125" style="3" customWidth="1"/>
    <col min="5394" max="5625" width="9.140625" style="3"/>
    <col min="5626" max="5631" width="0" style="3" hidden="1" customWidth="1"/>
    <col min="5632" max="5632" width="6.5703125" style="3" customWidth="1"/>
    <col min="5633" max="5633" width="58" style="3" customWidth="1"/>
    <col min="5634" max="5634" width="0" style="3" hidden="1" customWidth="1"/>
    <col min="5635" max="5635" width="12.140625" style="3" customWidth="1"/>
    <col min="5636" max="5636" width="0" style="3" hidden="1" customWidth="1"/>
    <col min="5637" max="5637" width="12.140625" style="3" customWidth="1"/>
    <col min="5638" max="5638" width="0" style="3" hidden="1" customWidth="1"/>
    <col min="5639" max="5639" width="12.140625" style="3" customWidth="1"/>
    <col min="5640" max="5640" width="0" style="3" hidden="1" customWidth="1"/>
    <col min="5641" max="5641" width="12.140625" style="3" customWidth="1"/>
    <col min="5642" max="5642" width="0" style="3" hidden="1" customWidth="1"/>
    <col min="5643" max="5643" width="10.42578125" style="3" customWidth="1"/>
    <col min="5644" max="5644" width="0" style="3" hidden="1" customWidth="1"/>
    <col min="5645" max="5645" width="10.42578125" style="3" customWidth="1"/>
    <col min="5646" max="5646" width="0" style="3" hidden="1" customWidth="1"/>
    <col min="5647" max="5647" width="10.42578125" style="3" customWidth="1"/>
    <col min="5648" max="5648" width="0" style="3" hidden="1" customWidth="1"/>
    <col min="5649" max="5649" width="10.42578125" style="3" customWidth="1"/>
    <col min="5650" max="5881" width="9.140625" style="3"/>
    <col min="5882" max="5887" width="0" style="3" hidden="1" customWidth="1"/>
    <col min="5888" max="5888" width="6.5703125" style="3" customWidth="1"/>
    <col min="5889" max="5889" width="58" style="3" customWidth="1"/>
    <col min="5890" max="5890" width="0" style="3" hidden="1" customWidth="1"/>
    <col min="5891" max="5891" width="12.140625" style="3" customWidth="1"/>
    <col min="5892" max="5892" width="0" style="3" hidden="1" customWidth="1"/>
    <col min="5893" max="5893" width="12.140625" style="3" customWidth="1"/>
    <col min="5894" max="5894" width="0" style="3" hidden="1" customWidth="1"/>
    <col min="5895" max="5895" width="12.140625" style="3" customWidth="1"/>
    <col min="5896" max="5896" width="0" style="3" hidden="1" customWidth="1"/>
    <col min="5897" max="5897" width="12.140625" style="3" customWidth="1"/>
    <col min="5898" max="5898" width="0" style="3" hidden="1" customWidth="1"/>
    <col min="5899" max="5899" width="10.42578125" style="3" customWidth="1"/>
    <col min="5900" max="5900" width="0" style="3" hidden="1" customWidth="1"/>
    <col min="5901" max="5901" width="10.42578125" style="3" customWidth="1"/>
    <col min="5902" max="5902" width="0" style="3" hidden="1" customWidth="1"/>
    <col min="5903" max="5903" width="10.42578125" style="3" customWidth="1"/>
    <col min="5904" max="5904" width="0" style="3" hidden="1" customWidth="1"/>
    <col min="5905" max="5905" width="10.42578125" style="3" customWidth="1"/>
    <col min="5906" max="6137" width="9.140625" style="3"/>
    <col min="6138" max="6143" width="0" style="3" hidden="1" customWidth="1"/>
    <col min="6144" max="6144" width="6.5703125" style="3" customWidth="1"/>
    <col min="6145" max="6145" width="58" style="3" customWidth="1"/>
    <col min="6146" max="6146" width="0" style="3" hidden="1" customWidth="1"/>
    <col min="6147" max="6147" width="12.140625" style="3" customWidth="1"/>
    <col min="6148" max="6148" width="0" style="3" hidden="1" customWidth="1"/>
    <col min="6149" max="6149" width="12.140625" style="3" customWidth="1"/>
    <col min="6150" max="6150" width="0" style="3" hidden="1" customWidth="1"/>
    <col min="6151" max="6151" width="12.140625" style="3" customWidth="1"/>
    <col min="6152" max="6152" width="0" style="3" hidden="1" customWidth="1"/>
    <col min="6153" max="6153" width="12.140625" style="3" customWidth="1"/>
    <col min="6154" max="6154" width="0" style="3" hidden="1" customWidth="1"/>
    <col min="6155" max="6155" width="10.42578125" style="3" customWidth="1"/>
    <col min="6156" max="6156" width="0" style="3" hidden="1" customWidth="1"/>
    <col min="6157" max="6157" width="10.42578125" style="3" customWidth="1"/>
    <col min="6158" max="6158" width="0" style="3" hidden="1" customWidth="1"/>
    <col min="6159" max="6159" width="10.42578125" style="3" customWidth="1"/>
    <col min="6160" max="6160" width="0" style="3" hidden="1" customWidth="1"/>
    <col min="6161" max="6161" width="10.42578125" style="3" customWidth="1"/>
    <col min="6162" max="6393" width="9.140625" style="3"/>
    <col min="6394" max="6399" width="0" style="3" hidden="1" customWidth="1"/>
    <col min="6400" max="6400" width="6.5703125" style="3" customWidth="1"/>
    <col min="6401" max="6401" width="58" style="3" customWidth="1"/>
    <col min="6402" max="6402" width="0" style="3" hidden="1" customWidth="1"/>
    <col min="6403" max="6403" width="12.140625" style="3" customWidth="1"/>
    <col min="6404" max="6404" width="0" style="3" hidden="1" customWidth="1"/>
    <col min="6405" max="6405" width="12.140625" style="3" customWidth="1"/>
    <col min="6406" max="6406" width="0" style="3" hidden="1" customWidth="1"/>
    <col min="6407" max="6407" width="12.140625" style="3" customWidth="1"/>
    <col min="6408" max="6408" width="0" style="3" hidden="1" customWidth="1"/>
    <col min="6409" max="6409" width="12.140625" style="3" customWidth="1"/>
    <col min="6410" max="6410" width="0" style="3" hidden="1" customWidth="1"/>
    <col min="6411" max="6411" width="10.42578125" style="3" customWidth="1"/>
    <col min="6412" max="6412" width="0" style="3" hidden="1" customWidth="1"/>
    <col min="6413" max="6413" width="10.42578125" style="3" customWidth="1"/>
    <col min="6414" max="6414" width="0" style="3" hidden="1" customWidth="1"/>
    <col min="6415" max="6415" width="10.42578125" style="3" customWidth="1"/>
    <col min="6416" max="6416" width="0" style="3" hidden="1" customWidth="1"/>
    <col min="6417" max="6417" width="10.42578125" style="3" customWidth="1"/>
    <col min="6418" max="6649" width="9.140625" style="3"/>
    <col min="6650" max="6655" width="0" style="3" hidden="1" customWidth="1"/>
    <col min="6656" max="6656" width="6.5703125" style="3" customWidth="1"/>
    <col min="6657" max="6657" width="58" style="3" customWidth="1"/>
    <col min="6658" max="6658" width="0" style="3" hidden="1" customWidth="1"/>
    <col min="6659" max="6659" width="12.140625" style="3" customWidth="1"/>
    <col min="6660" max="6660" width="0" style="3" hidden="1" customWidth="1"/>
    <col min="6661" max="6661" width="12.140625" style="3" customWidth="1"/>
    <col min="6662" max="6662" width="0" style="3" hidden="1" customWidth="1"/>
    <col min="6663" max="6663" width="12.140625" style="3" customWidth="1"/>
    <col min="6664" max="6664" width="0" style="3" hidden="1" customWidth="1"/>
    <col min="6665" max="6665" width="12.140625" style="3" customWidth="1"/>
    <col min="6666" max="6666" width="0" style="3" hidden="1" customWidth="1"/>
    <col min="6667" max="6667" width="10.42578125" style="3" customWidth="1"/>
    <col min="6668" max="6668" width="0" style="3" hidden="1" customWidth="1"/>
    <col min="6669" max="6669" width="10.42578125" style="3" customWidth="1"/>
    <col min="6670" max="6670" width="0" style="3" hidden="1" customWidth="1"/>
    <col min="6671" max="6671" width="10.42578125" style="3" customWidth="1"/>
    <col min="6672" max="6672" width="0" style="3" hidden="1" customWidth="1"/>
    <col min="6673" max="6673" width="10.42578125" style="3" customWidth="1"/>
    <col min="6674" max="6905" width="9.140625" style="3"/>
    <col min="6906" max="6911" width="0" style="3" hidden="1" customWidth="1"/>
    <col min="6912" max="6912" width="6.5703125" style="3" customWidth="1"/>
    <col min="6913" max="6913" width="58" style="3" customWidth="1"/>
    <col min="6914" max="6914" width="0" style="3" hidden="1" customWidth="1"/>
    <col min="6915" max="6915" width="12.140625" style="3" customWidth="1"/>
    <col min="6916" max="6916" width="0" style="3" hidden="1" customWidth="1"/>
    <col min="6917" max="6917" width="12.140625" style="3" customWidth="1"/>
    <col min="6918" max="6918" width="0" style="3" hidden="1" customWidth="1"/>
    <col min="6919" max="6919" width="12.140625" style="3" customWidth="1"/>
    <col min="6920" max="6920" width="0" style="3" hidden="1" customWidth="1"/>
    <col min="6921" max="6921" width="12.140625" style="3" customWidth="1"/>
    <col min="6922" max="6922" width="0" style="3" hidden="1" customWidth="1"/>
    <col min="6923" max="6923" width="10.42578125" style="3" customWidth="1"/>
    <col min="6924" max="6924" width="0" style="3" hidden="1" customWidth="1"/>
    <col min="6925" max="6925" width="10.42578125" style="3" customWidth="1"/>
    <col min="6926" max="6926" width="0" style="3" hidden="1" customWidth="1"/>
    <col min="6927" max="6927" width="10.42578125" style="3" customWidth="1"/>
    <col min="6928" max="6928" width="0" style="3" hidden="1" customWidth="1"/>
    <col min="6929" max="6929" width="10.42578125" style="3" customWidth="1"/>
    <col min="6930" max="7161" width="9.140625" style="3"/>
    <col min="7162" max="7167" width="0" style="3" hidden="1" customWidth="1"/>
    <col min="7168" max="7168" width="6.5703125" style="3" customWidth="1"/>
    <col min="7169" max="7169" width="58" style="3" customWidth="1"/>
    <col min="7170" max="7170" width="0" style="3" hidden="1" customWidth="1"/>
    <col min="7171" max="7171" width="12.140625" style="3" customWidth="1"/>
    <col min="7172" max="7172" width="0" style="3" hidden="1" customWidth="1"/>
    <col min="7173" max="7173" width="12.140625" style="3" customWidth="1"/>
    <col min="7174" max="7174" width="0" style="3" hidden="1" customWidth="1"/>
    <col min="7175" max="7175" width="12.140625" style="3" customWidth="1"/>
    <col min="7176" max="7176" width="0" style="3" hidden="1" customWidth="1"/>
    <col min="7177" max="7177" width="12.140625" style="3" customWidth="1"/>
    <col min="7178" max="7178" width="0" style="3" hidden="1" customWidth="1"/>
    <col min="7179" max="7179" width="10.42578125" style="3" customWidth="1"/>
    <col min="7180" max="7180" width="0" style="3" hidden="1" customWidth="1"/>
    <col min="7181" max="7181" width="10.42578125" style="3" customWidth="1"/>
    <col min="7182" max="7182" width="0" style="3" hidden="1" customWidth="1"/>
    <col min="7183" max="7183" width="10.42578125" style="3" customWidth="1"/>
    <col min="7184" max="7184" width="0" style="3" hidden="1" customWidth="1"/>
    <col min="7185" max="7185" width="10.42578125" style="3" customWidth="1"/>
    <col min="7186" max="7417" width="9.140625" style="3"/>
    <col min="7418" max="7423" width="0" style="3" hidden="1" customWidth="1"/>
    <col min="7424" max="7424" width="6.5703125" style="3" customWidth="1"/>
    <col min="7425" max="7425" width="58" style="3" customWidth="1"/>
    <col min="7426" max="7426" width="0" style="3" hidden="1" customWidth="1"/>
    <col min="7427" max="7427" width="12.140625" style="3" customWidth="1"/>
    <col min="7428" max="7428" width="0" style="3" hidden="1" customWidth="1"/>
    <col min="7429" max="7429" width="12.140625" style="3" customWidth="1"/>
    <col min="7430" max="7430" width="0" style="3" hidden="1" customWidth="1"/>
    <col min="7431" max="7431" width="12.140625" style="3" customWidth="1"/>
    <col min="7432" max="7432" width="0" style="3" hidden="1" customWidth="1"/>
    <col min="7433" max="7433" width="12.140625" style="3" customWidth="1"/>
    <col min="7434" max="7434" width="0" style="3" hidden="1" customWidth="1"/>
    <col min="7435" max="7435" width="10.42578125" style="3" customWidth="1"/>
    <col min="7436" max="7436" width="0" style="3" hidden="1" customWidth="1"/>
    <col min="7437" max="7437" width="10.42578125" style="3" customWidth="1"/>
    <col min="7438" max="7438" width="0" style="3" hidden="1" customWidth="1"/>
    <col min="7439" max="7439" width="10.42578125" style="3" customWidth="1"/>
    <col min="7440" max="7440" width="0" style="3" hidden="1" customWidth="1"/>
    <col min="7441" max="7441" width="10.42578125" style="3" customWidth="1"/>
    <col min="7442" max="7673" width="9.140625" style="3"/>
    <col min="7674" max="7679" width="0" style="3" hidden="1" customWidth="1"/>
    <col min="7680" max="7680" width="6.5703125" style="3" customWidth="1"/>
    <col min="7681" max="7681" width="58" style="3" customWidth="1"/>
    <col min="7682" max="7682" width="0" style="3" hidden="1" customWidth="1"/>
    <col min="7683" max="7683" width="12.140625" style="3" customWidth="1"/>
    <col min="7684" max="7684" width="0" style="3" hidden="1" customWidth="1"/>
    <col min="7685" max="7685" width="12.140625" style="3" customWidth="1"/>
    <col min="7686" max="7686" width="0" style="3" hidden="1" customWidth="1"/>
    <col min="7687" max="7687" width="12.140625" style="3" customWidth="1"/>
    <col min="7688" max="7688" width="0" style="3" hidden="1" customWidth="1"/>
    <col min="7689" max="7689" width="12.140625" style="3" customWidth="1"/>
    <col min="7690" max="7690" width="0" style="3" hidden="1" customWidth="1"/>
    <col min="7691" max="7691" width="10.42578125" style="3" customWidth="1"/>
    <col min="7692" max="7692" width="0" style="3" hidden="1" customWidth="1"/>
    <col min="7693" max="7693" width="10.42578125" style="3" customWidth="1"/>
    <col min="7694" max="7694" width="0" style="3" hidden="1" customWidth="1"/>
    <col min="7695" max="7695" width="10.42578125" style="3" customWidth="1"/>
    <col min="7696" max="7696" width="0" style="3" hidden="1" customWidth="1"/>
    <col min="7697" max="7697" width="10.42578125" style="3" customWidth="1"/>
    <col min="7698" max="7929" width="9.140625" style="3"/>
    <col min="7930" max="7935" width="0" style="3" hidden="1" customWidth="1"/>
    <col min="7936" max="7936" width="6.5703125" style="3" customWidth="1"/>
    <col min="7937" max="7937" width="58" style="3" customWidth="1"/>
    <col min="7938" max="7938" width="0" style="3" hidden="1" customWidth="1"/>
    <col min="7939" max="7939" width="12.140625" style="3" customWidth="1"/>
    <col min="7940" max="7940" width="0" style="3" hidden="1" customWidth="1"/>
    <col min="7941" max="7941" width="12.140625" style="3" customWidth="1"/>
    <col min="7942" max="7942" width="0" style="3" hidden="1" customWidth="1"/>
    <col min="7943" max="7943" width="12.140625" style="3" customWidth="1"/>
    <col min="7944" max="7944" width="0" style="3" hidden="1" customWidth="1"/>
    <col min="7945" max="7945" width="12.140625" style="3" customWidth="1"/>
    <col min="7946" max="7946" width="0" style="3" hidden="1" customWidth="1"/>
    <col min="7947" max="7947" width="10.42578125" style="3" customWidth="1"/>
    <col min="7948" max="7948" width="0" style="3" hidden="1" customWidth="1"/>
    <col min="7949" max="7949" width="10.42578125" style="3" customWidth="1"/>
    <col min="7950" max="7950" width="0" style="3" hidden="1" customWidth="1"/>
    <col min="7951" max="7951" width="10.42578125" style="3" customWidth="1"/>
    <col min="7952" max="7952" width="0" style="3" hidden="1" customWidth="1"/>
    <col min="7953" max="7953" width="10.42578125" style="3" customWidth="1"/>
    <col min="7954" max="8185" width="9.140625" style="3"/>
    <col min="8186" max="8191" width="0" style="3" hidden="1" customWidth="1"/>
    <col min="8192" max="8192" width="6.5703125" style="3" customWidth="1"/>
    <col min="8193" max="8193" width="58" style="3" customWidth="1"/>
    <col min="8194" max="8194" width="0" style="3" hidden="1" customWidth="1"/>
    <col min="8195" max="8195" width="12.140625" style="3" customWidth="1"/>
    <col min="8196" max="8196" width="0" style="3" hidden="1" customWidth="1"/>
    <col min="8197" max="8197" width="12.140625" style="3" customWidth="1"/>
    <col min="8198" max="8198" width="0" style="3" hidden="1" customWidth="1"/>
    <col min="8199" max="8199" width="12.140625" style="3" customWidth="1"/>
    <col min="8200" max="8200" width="0" style="3" hidden="1" customWidth="1"/>
    <col min="8201" max="8201" width="12.140625" style="3" customWidth="1"/>
    <col min="8202" max="8202" width="0" style="3" hidden="1" customWidth="1"/>
    <col min="8203" max="8203" width="10.42578125" style="3" customWidth="1"/>
    <col min="8204" max="8204" width="0" style="3" hidden="1" customWidth="1"/>
    <col min="8205" max="8205" width="10.42578125" style="3" customWidth="1"/>
    <col min="8206" max="8206" width="0" style="3" hidden="1" customWidth="1"/>
    <col min="8207" max="8207" width="10.42578125" style="3" customWidth="1"/>
    <col min="8208" max="8208" width="0" style="3" hidden="1" customWidth="1"/>
    <col min="8209" max="8209" width="10.42578125" style="3" customWidth="1"/>
    <col min="8210" max="8441" width="9.140625" style="3"/>
    <col min="8442" max="8447" width="0" style="3" hidden="1" customWidth="1"/>
    <col min="8448" max="8448" width="6.5703125" style="3" customWidth="1"/>
    <col min="8449" max="8449" width="58" style="3" customWidth="1"/>
    <col min="8450" max="8450" width="0" style="3" hidden="1" customWidth="1"/>
    <col min="8451" max="8451" width="12.140625" style="3" customWidth="1"/>
    <col min="8452" max="8452" width="0" style="3" hidden="1" customWidth="1"/>
    <col min="8453" max="8453" width="12.140625" style="3" customWidth="1"/>
    <col min="8454" max="8454" width="0" style="3" hidden="1" customWidth="1"/>
    <col min="8455" max="8455" width="12.140625" style="3" customWidth="1"/>
    <col min="8456" max="8456" width="0" style="3" hidden="1" customWidth="1"/>
    <col min="8457" max="8457" width="12.140625" style="3" customWidth="1"/>
    <col min="8458" max="8458" width="0" style="3" hidden="1" customWidth="1"/>
    <col min="8459" max="8459" width="10.42578125" style="3" customWidth="1"/>
    <col min="8460" max="8460" width="0" style="3" hidden="1" customWidth="1"/>
    <col min="8461" max="8461" width="10.42578125" style="3" customWidth="1"/>
    <col min="8462" max="8462" width="0" style="3" hidden="1" customWidth="1"/>
    <col min="8463" max="8463" width="10.42578125" style="3" customWidth="1"/>
    <col min="8464" max="8464" width="0" style="3" hidden="1" customWidth="1"/>
    <col min="8465" max="8465" width="10.42578125" style="3" customWidth="1"/>
    <col min="8466" max="8697" width="9.140625" style="3"/>
    <col min="8698" max="8703" width="0" style="3" hidden="1" customWidth="1"/>
    <col min="8704" max="8704" width="6.5703125" style="3" customWidth="1"/>
    <col min="8705" max="8705" width="58" style="3" customWidth="1"/>
    <col min="8706" max="8706" width="0" style="3" hidden="1" customWidth="1"/>
    <col min="8707" max="8707" width="12.140625" style="3" customWidth="1"/>
    <col min="8708" max="8708" width="0" style="3" hidden="1" customWidth="1"/>
    <col min="8709" max="8709" width="12.140625" style="3" customWidth="1"/>
    <col min="8710" max="8710" width="0" style="3" hidden="1" customWidth="1"/>
    <col min="8711" max="8711" width="12.140625" style="3" customWidth="1"/>
    <col min="8712" max="8712" width="0" style="3" hidden="1" customWidth="1"/>
    <col min="8713" max="8713" width="12.140625" style="3" customWidth="1"/>
    <col min="8714" max="8714" width="0" style="3" hidden="1" customWidth="1"/>
    <col min="8715" max="8715" width="10.42578125" style="3" customWidth="1"/>
    <col min="8716" max="8716" width="0" style="3" hidden="1" customWidth="1"/>
    <col min="8717" max="8717" width="10.42578125" style="3" customWidth="1"/>
    <col min="8718" max="8718" width="0" style="3" hidden="1" customWidth="1"/>
    <col min="8719" max="8719" width="10.42578125" style="3" customWidth="1"/>
    <col min="8720" max="8720" width="0" style="3" hidden="1" customWidth="1"/>
    <col min="8721" max="8721" width="10.42578125" style="3" customWidth="1"/>
    <col min="8722" max="8953" width="9.140625" style="3"/>
    <col min="8954" max="8959" width="0" style="3" hidden="1" customWidth="1"/>
    <col min="8960" max="8960" width="6.5703125" style="3" customWidth="1"/>
    <col min="8961" max="8961" width="58" style="3" customWidth="1"/>
    <col min="8962" max="8962" width="0" style="3" hidden="1" customWidth="1"/>
    <col min="8963" max="8963" width="12.140625" style="3" customWidth="1"/>
    <col min="8964" max="8964" width="0" style="3" hidden="1" customWidth="1"/>
    <col min="8965" max="8965" width="12.140625" style="3" customWidth="1"/>
    <col min="8966" max="8966" width="0" style="3" hidden="1" customWidth="1"/>
    <col min="8967" max="8967" width="12.140625" style="3" customWidth="1"/>
    <col min="8968" max="8968" width="0" style="3" hidden="1" customWidth="1"/>
    <col min="8969" max="8969" width="12.140625" style="3" customWidth="1"/>
    <col min="8970" max="8970" width="0" style="3" hidden="1" customWidth="1"/>
    <col min="8971" max="8971" width="10.42578125" style="3" customWidth="1"/>
    <col min="8972" max="8972" width="0" style="3" hidden="1" customWidth="1"/>
    <col min="8973" max="8973" width="10.42578125" style="3" customWidth="1"/>
    <col min="8974" max="8974" width="0" style="3" hidden="1" customWidth="1"/>
    <col min="8975" max="8975" width="10.42578125" style="3" customWidth="1"/>
    <col min="8976" max="8976" width="0" style="3" hidden="1" customWidth="1"/>
    <col min="8977" max="8977" width="10.42578125" style="3" customWidth="1"/>
    <col min="8978" max="9209" width="9.140625" style="3"/>
    <col min="9210" max="9215" width="0" style="3" hidden="1" customWidth="1"/>
    <col min="9216" max="9216" width="6.5703125" style="3" customWidth="1"/>
    <col min="9217" max="9217" width="58" style="3" customWidth="1"/>
    <col min="9218" max="9218" width="0" style="3" hidden="1" customWidth="1"/>
    <col min="9219" max="9219" width="12.140625" style="3" customWidth="1"/>
    <col min="9220" max="9220" width="0" style="3" hidden="1" customWidth="1"/>
    <col min="9221" max="9221" width="12.140625" style="3" customWidth="1"/>
    <col min="9222" max="9222" width="0" style="3" hidden="1" customWidth="1"/>
    <col min="9223" max="9223" width="12.140625" style="3" customWidth="1"/>
    <col min="9224" max="9224" width="0" style="3" hidden="1" customWidth="1"/>
    <col min="9225" max="9225" width="12.140625" style="3" customWidth="1"/>
    <col min="9226" max="9226" width="0" style="3" hidden="1" customWidth="1"/>
    <col min="9227" max="9227" width="10.42578125" style="3" customWidth="1"/>
    <col min="9228" max="9228" width="0" style="3" hidden="1" customWidth="1"/>
    <col min="9229" max="9229" width="10.42578125" style="3" customWidth="1"/>
    <col min="9230" max="9230" width="0" style="3" hidden="1" customWidth="1"/>
    <col min="9231" max="9231" width="10.42578125" style="3" customWidth="1"/>
    <col min="9232" max="9232" width="0" style="3" hidden="1" customWidth="1"/>
    <col min="9233" max="9233" width="10.42578125" style="3" customWidth="1"/>
    <col min="9234" max="9465" width="9.140625" style="3"/>
    <col min="9466" max="9471" width="0" style="3" hidden="1" customWidth="1"/>
    <col min="9472" max="9472" width="6.5703125" style="3" customWidth="1"/>
    <col min="9473" max="9473" width="58" style="3" customWidth="1"/>
    <col min="9474" max="9474" width="0" style="3" hidden="1" customWidth="1"/>
    <col min="9475" max="9475" width="12.140625" style="3" customWidth="1"/>
    <col min="9476" max="9476" width="0" style="3" hidden="1" customWidth="1"/>
    <col min="9477" max="9477" width="12.140625" style="3" customWidth="1"/>
    <col min="9478" max="9478" width="0" style="3" hidden="1" customWidth="1"/>
    <col min="9479" max="9479" width="12.140625" style="3" customWidth="1"/>
    <col min="9480" max="9480" width="0" style="3" hidden="1" customWidth="1"/>
    <col min="9481" max="9481" width="12.140625" style="3" customWidth="1"/>
    <col min="9482" max="9482" width="0" style="3" hidden="1" customWidth="1"/>
    <col min="9483" max="9483" width="10.42578125" style="3" customWidth="1"/>
    <col min="9484" max="9484" width="0" style="3" hidden="1" customWidth="1"/>
    <col min="9485" max="9485" width="10.42578125" style="3" customWidth="1"/>
    <col min="9486" max="9486" width="0" style="3" hidden="1" customWidth="1"/>
    <col min="9487" max="9487" width="10.42578125" style="3" customWidth="1"/>
    <col min="9488" max="9488" width="0" style="3" hidden="1" customWidth="1"/>
    <col min="9489" max="9489" width="10.42578125" style="3" customWidth="1"/>
    <col min="9490" max="9721" width="9.140625" style="3"/>
    <col min="9722" max="9727" width="0" style="3" hidden="1" customWidth="1"/>
    <col min="9728" max="9728" width="6.5703125" style="3" customWidth="1"/>
    <col min="9729" max="9729" width="58" style="3" customWidth="1"/>
    <col min="9730" max="9730" width="0" style="3" hidden="1" customWidth="1"/>
    <col min="9731" max="9731" width="12.140625" style="3" customWidth="1"/>
    <col min="9732" max="9732" width="0" style="3" hidden="1" customWidth="1"/>
    <col min="9733" max="9733" width="12.140625" style="3" customWidth="1"/>
    <col min="9734" max="9734" width="0" style="3" hidden="1" customWidth="1"/>
    <col min="9735" max="9735" width="12.140625" style="3" customWidth="1"/>
    <col min="9736" max="9736" width="0" style="3" hidden="1" customWidth="1"/>
    <col min="9737" max="9737" width="12.140625" style="3" customWidth="1"/>
    <col min="9738" max="9738" width="0" style="3" hidden="1" customWidth="1"/>
    <col min="9739" max="9739" width="10.42578125" style="3" customWidth="1"/>
    <col min="9740" max="9740" width="0" style="3" hidden="1" customWidth="1"/>
    <col min="9741" max="9741" width="10.42578125" style="3" customWidth="1"/>
    <col min="9742" max="9742" width="0" style="3" hidden="1" customWidth="1"/>
    <col min="9743" max="9743" width="10.42578125" style="3" customWidth="1"/>
    <col min="9744" max="9744" width="0" style="3" hidden="1" customWidth="1"/>
    <col min="9745" max="9745" width="10.42578125" style="3" customWidth="1"/>
    <col min="9746" max="9977" width="9.140625" style="3"/>
    <col min="9978" max="9983" width="0" style="3" hidden="1" customWidth="1"/>
    <col min="9984" max="9984" width="6.5703125" style="3" customWidth="1"/>
    <col min="9985" max="9985" width="58" style="3" customWidth="1"/>
    <col min="9986" max="9986" width="0" style="3" hidden="1" customWidth="1"/>
    <col min="9987" max="9987" width="12.140625" style="3" customWidth="1"/>
    <col min="9988" max="9988" width="0" style="3" hidden="1" customWidth="1"/>
    <col min="9989" max="9989" width="12.140625" style="3" customWidth="1"/>
    <col min="9990" max="9990" width="0" style="3" hidden="1" customWidth="1"/>
    <col min="9991" max="9991" width="12.140625" style="3" customWidth="1"/>
    <col min="9992" max="9992" width="0" style="3" hidden="1" customWidth="1"/>
    <col min="9993" max="9993" width="12.140625" style="3" customWidth="1"/>
    <col min="9994" max="9994" width="0" style="3" hidden="1" customWidth="1"/>
    <col min="9995" max="9995" width="10.42578125" style="3" customWidth="1"/>
    <col min="9996" max="9996" width="0" style="3" hidden="1" customWidth="1"/>
    <col min="9997" max="9997" width="10.42578125" style="3" customWidth="1"/>
    <col min="9998" max="9998" width="0" style="3" hidden="1" customWidth="1"/>
    <col min="9999" max="9999" width="10.42578125" style="3" customWidth="1"/>
    <col min="10000" max="10000" width="0" style="3" hidden="1" customWidth="1"/>
    <col min="10001" max="10001" width="10.42578125" style="3" customWidth="1"/>
    <col min="10002" max="10233" width="9.140625" style="3"/>
    <col min="10234" max="10239" width="0" style="3" hidden="1" customWidth="1"/>
    <col min="10240" max="10240" width="6.5703125" style="3" customWidth="1"/>
    <col min="10241" max="10241" width="58" style="3" customWidth="1"/>
    <col min="10242" max="10242" width="0" style="3" hidden="1" customWidth="1"/>
    <col min="10243" max="10243" width="12.140625" style="3" customWidth="1"/>
    <col min="10244" max="10244" width="0" style="3" hidden="1" customWidth="1"/>
    <col min="10245" max="10245" width="12.140625" style="3" customWidth="1"/>
    <col min="10246" max="10246" width="0" style="3" hidden="1" customWidth="1"/>
    <col min="10247" max="10247" width="12.140625" style="3" customWidth="1"/>
    <col min="10248" max="10248" width="0" style="3" hidden="1" customWidth="1"/>
    <col min="10249" max="10249" width="12.140625" style="3" customWidth="1"/>
    <col min="10250" max="10250" width="0" style="3" hidden="1" customWidth="1"/>
    <col min="10251" max="10251" width="10.42578125" style="3" customWidth="1"/>
    <col min="10252" max="10252" width="0" style="3" hidden="1" customWidth="1"/>
    <col min="10253" max="10253" width="10.42578125" style="3" customWidth="1"/>
    <col min="10254" max="10254" width="0" style="3" hidden="1" customWidth="1"/>
    <col min="10255" max="10255" width="10.42578125" style="3" customWidth="1"/>
    <col min="10256" max="10256" width="0" style="3" hidden="1" customWidth="1"/>
    <col min="10257" max="10257" width="10.42578125" style="3" customWidth="1"/>
    <col min="10258" max="10489" width="9.140625" style="3"/>
    <col min="10490" max="10495" width="0" style="3" hidden="1" customWidth="1"/>
    <col min="10496" max="10496" width="6.5703125" style="3" customWidth="1"/>
    <col min="10497" max="10497" width="58" style="3" customWidth="1"/>
    <col min="10498" max="10498" width="0" style="3" hidden="1" customWidth="1"/>
    <col min="10499" max="10499" width="12.140625" style="3" customWidth="1"/>
    <col min="10500" max="10500" width="0" style="3" hidden="1" customWidth="1"/>
    <col min="10501" max="10501" width="12.140625" style="3" customWidth="1"/>
    <col min="10502" max="10502" width="0" style="3" hidden="1" customWidth="1"/>
    <col min="10503" max="10503" width="12.140625" style="3" customWidth="1"/>
    <col min="10504" max="10504" width="0" style="3" hidden="1" customWidth="1"/>
    <col min="10505" max="10505" width="12.140625" style="3" customWidth="1"/>
    <col min="10506" max="10506" width="0" style="3" hidden="1" customWidth="1"/>
    <col min="10507" max="10507" width="10.42578125" style="3" customWidth="1"/>
    <col min="10508" max="10508" width="0" style="3" hidden="1" customWidth="1"/>
    <col min="10509" max="10509" width="10.42578125" style="3" customWidth="1"/>
    <col min="10510" max="10510" width="0" style="3" hidden="1" customWidth="1"/>
    <col min="10511" max="10511" width="10.42578125" style="3" customWidth="1"/>
    <col min="10512" max="10512" width="0" style="3" hidden="1" customWidth="1"/>
    <col min="10513" max="10513" width="10.42578125" style="3" customWidth="1"/>
    <col min="10514" max="10745" width="9.140625" style="3"/>
    <col min="10746" max="10751" width="0" style="3" hidden="1" customWidth="1"/>
    <col min="10752" max="10752" width="6.5703125" style="3" customWidth="1"/>
    <col min="10753" max="10753" width="58" style="3" customWidth="1"/>
    <col min="10754" max="10754" width="0" style="3" hidden="1" customWidth="1"/>
    <col min="10755" max="10755" width="12.140625" style="3" customWidth="1"/>
    <col min="10756" max="10756" width="0" style="3" hidden="1" customWidth="1"/>
    <col min="10757" max="10757" width="12.140625" style="3" customWidth="1"/>
    <col min="10758" max="10758" width="0" style="3" hidden="1" customWidth="1"/>
    <col min="10759" max="10759" width="12.140625" style="3" customWidth="1"/>
    <col min="10760" max="10760" width="0" style="3" hidden="1" customWidth="1"/>
    <col min="10761" max="10761" width="12.140625" style="3" customWidth="1"/>
    <col min="10762" max="10762" width="0" style="3" hidden="1" customWidth="1"/>
    <col min="10763" max="10763" width="10.42578125" style="3" customWidth="1"/>
    <col min="10764" max="10764" width="0" style="3" hidden="1" customWidth="1"/>
    <col min="10765" max="10765" width="10.42578125" style="3" customWidth="1"/>
    <col min="10766" max="10766" width="0" style="3" hidden="1" customWidth="1"/>
    <col min="10767" max="10767" width="10.42578125" style="3" customWidth="1"/>
    <col min="10768" max="10768" width="0" style="3" hidden="1" customWidth="1"/>
    <col min="10769" max="10769" width="10.42578125" style="3" customWidth="1"/>
    <col min="10770" max="11001" width="9.140625" style="3"/>
    <col min="11002" max="11007" width="0" style="3" hidden="1" customWidth="1"/>
    <col min="11008" max="11008" width="6.5703125" style="3" customWidth="1"/>
    <col min="11009" max="11009" width="58" style="3" customWidth="1"/>
    <col min="11010" max="11010" width="0" style="3" hidden="1" customWidth="1"/>
    <col min="11011" max="11011" width="12.140625" style="3" customWidth="1"/>
    <col min="11012" max="11012" width="0" style="3" hidden="1" customWidth="1"/>
    <col min="11013" max="11013" width="12.140625" style="3" customWidth="1"/>
    <col min="11014" max="11014" width="0" style="3" hidden="1" customWidth="1"/>
    <col min="11015" max="11015" width="12.140625" style="3" customWidth="1"/>
    <col min="11016" max="11016" width="0" style="3" hidden="1" customWidth="1"/>
    <col min="11017" max="11017" width="12.140625" style="3" customWidth="1"/>
    <col min="11018" max="11018" width="0" style="3" hidden="1" customWidth="1"/>
    <col min="11019" max="11019" width="10.42578125" style="3" customWidth="1"/>
    <col min="11020" max="11020" width="0" style="3" hidden="1" customWidth="1"/>
    <col min="11021" max="11021" width="10.42578125" style="3" customWidth="1"/>
    <col min="11022" max="11022" width="0" style="3" hidden="1" customWidth="1"/>
    <col min="11023" max="11023" width="10.42578125" style="3" customWidth="1"/>
    <col min="11024" max="11024" width="0" style="3" hidden="1" customWidth="1"/>
    <col min="11025" max="11025" width="10.42578125" style="3" customWidth="1"/>
    <col min="11026" max="11257" width="9.140625" style="3"/>
    <col min="11258" max="11263" width="0" style="3" hidden="1" customWidth="1"/>
    <col min="11264" max="11264" width="6.5703125" style="3" customWidth="1"/>
    <col min="11265" max="11265" width="58" style="3" customWidth="1"/>
    <col min="11266" max="11266" width="0" style="3" hidden="1" customWidth="1"/>
    <col min="11267" max="11267" width="12.140625" style="3" customWidth="1"/>
    <col min="11268" max="11268" width="0" style="3" hidden="1" customWidth="1"/>
    <col min="11269" max="11269" width="12.140625" style="3" customWidth="1"/>
    <col min="11270" max="11270" width="0" style="3" hidden="1" customWidth="1"/>
    <col min="11271" max="11271" width="12.140625" style="3" customWidth="1"/>
    <col min="11272" max="11272" width="0" style="3" hidden="1" customWidth="1"/>
    <col min="11273" max="11273" width="12.140625" style="3" customWidth="1"/>
    <col min="11274" max="11274" width="0" style="3" hidden="1" customWidth="1"/>
    <col min="11275" max="11275" width="10.42578125" style="3" customWidth="1"/>
    <col min="11276" max="11276" width="0" style="3" hidden="1" customWidth="1"/>
    <col min="11277" max="11277" width="10.42578125" style="3" customWidth="1"/>
    <col min="11278" max="11278" width="0" style="3" hidden="1" customWidth="1"/>
    <col min="11279" max="11279" width="10.42578125" style="3" customWidth="1"/>
    <col min="11280" max="11280" width="0" style="3" hidden="1" customWidth="1"/>
    <col min="11281" max="11281" width="10.42578125" style="3" customWidth="1"/>
    <col min="11282" max="11513" width="9.140625" style="3"/>
    <col min="11514" max="11519" width="0" style="3" hidden="1" customWidth="1"/>
    <col min="11520" max="11520" width="6.5703125" style="3" customWidth="1"/>
    <col min="11521" max="11521" width="58" style="3" customWidth="1"/>
    <col min="11522" max="11522" width="0" style="3" hidden="1" customWidth="1"/>
    <col min="11523" max="11523" width="12.140625" style="3" customWidth="1"/>
    <col min="11524" max="11524" width="0" style="3" hidden="1" customWidth="1"/>
    <col min="11525" max="11525" width="12.140625" style="3" customWidth="1"/>
    <col min="11526" max="11526" width="0" style="3" hidden="1" customWidth="1"/>
    <col min="11527" max="11527" width="12.140625" style="3" customWidth="1"/>
    <col min="11528" max="11528" width="0" style="3" hidden="1" customWidth="1"/>
    <col min="11529" max="11529" width="12.140625" style="3" customWidth="1"/>
    <col min="11530" max="11530" width="0" style="3" hidden="1" customWidth="1"/>
    <col min="11531" max="11531" width="10.42578125" style="3" customWidth="1"/>
    <col min="11532" max="11532" width="0" style="3" hidden="1" customWidth="1"/>
    <col min="11533" max="11533" width="10.42578125" style="3" customWidth="1"/>
    <col min="11534" max="11534" width="0" style="3" hidden="1" customWidth="1"/>
    <col min="11535" max="11535" width="10.42578125" style="3" customWidth="1"/>
    <col min="11536" max="11536" width="0" style="3" hidden="1" customWidth="1"/>
    <col min="11537" max="11537" width="10.42578125" style="3" customWidth="1"/>
    <col min="11538" max="11769" width="9.140625" style="3"/>
    <col min="11770" max="11775" width="0" style="3" hidden="1" customWidth="1"/>
    <col min="11776" max="11776" width="6.5703125" style="3" customWidth="1"/>
    <col min="11777" max="11777" width="58" style="3" customWidth="1"/>
    <col min="11778" max="11778" width="0" style="3" hidden="1" customWidth="1"/>
    <col min="11779" max="11779" width="12.140625" style="3" customWidth="1"/>
    <col min="11780" max="11780" width="0" style="3" hidden="1" customWidth="1"/>
    <col min="11781" max="11781" width="12.140625" style="3" customWidth="1"/>
    <col min="11782" max="11782" width="0" style="3" hidden="1" customWidth="1"/>
    <col min="11783" max="11783" width="12.140625" style="3" customWidth="1"/>
    <col min="11784" max="11784" width="0" style="3" hidden="1" customWidth="1"/>
    <col min="11785" max="11785" width="12.140625" style="3" customWidth="1"/>
    <col min="11786" max="11786" width="0" style="3" hidden="1" customWidth="1"/>
    <col min="11787" max="11787" width="10.42578125" style="3" customWidth="1"/>
    <col min="11788" max="11788" width="0" style="3" hidden="1" customWidth="1"/>
    <col min="11789" max="11789" width="10.42578125" style="3" customWidth="1"/>
    <col min="11790" max="11790" width="0" style="3" hidden="1" customWidth="1"/>
    <col min="11791" max="11791" width="10.42578125" style="3" customWidth="1"/>
    <col min="11792" max="11792" width="0" style="3" hidden="1" customWidth="1"/>
    <col min="11793" max="11793" width="10.42578125" style="3" customWidth="1"/>
    <col min="11794" max="12025" width="9.140625" style="3"/>
    <col min="12026" max="12031" width="0" style="3" hidden="1" customWidth="1"/>
    <col min="12032" max="12032" width="6.5703125" style="3" customWidth="1"/>
    <col min="12033" max="12033" width="58" style="3" customWidth="1"/>
    <col min="12034" max="12034" width="0" style="3" hidden="1" customWidth="1"/>
    <col min="12035" max="12035" width="12.140625" style="3" customWidth="1"/>
    <col min="12036" max="12036" width="0" style="3" hidden="1" customWidth="1"/>
    <col min="12037" max="12037" width="12.140625" style="3" customWidth="1"/>
    <col min="12038" max="12038" width="0" style="3" hidden="1" customWidth="1"/>
    <col min="12039" max="12039" width="12.140625" style="3" customWidth="1"/>
    <col min="12040" max="12040" width="0" style="3" hidden="1" customWidth="1"/>
    <col min="12041" max="12041" width="12.140625" style="3" customWidth="1"/>
    <col min="12042" max="12042" width="0" style="3" hidden="1" customWidth="1"/>
    <col min="12043" max="12043" width="10.42578125" style="3" customWidth="1"/>
    <col min="12044" max="12044" width="0" style="3" hidden="1" customWidth="1"/>
    <col min="12045" max="12045" width="10.42578125" style="3" customWidth="1"/>
    <col min="12046" max="12046" width="0" style="3" hidden="1" customWidth="1"/>
    <col min="12047" max="12047" width="10.42578125" style="3" customWidth="1"/>
    <col min="12048" max="12048" width="0" style="3" hidden="1" customWidth="1"/>
    <col min="12049" max="12049" width="10.42578125" style="3" customWidth="1"/>
    <col min="12050" max="12281" width="9.140625" style="3"/>
    <col min="12282" max="12287" width="0" style="3" hidden="1" customWidth="1"/>
    <col min="12288" max="12288" width="6.5703125" style="3" customWidth="1"/>
    <col min="12289" max="12289" width="58" style="3" customWidth="1"/>
    <col min="12290" max="12290" width="0" style="3" hidden="1" customWidth="1"/>
    <col min="12291" max="12291" width="12.140625" style="3" customWidth="1"/>
    <col min="12292" max="12292" width="0" style="3" hidden="1" customWidth="1"/>
    <col min="12293" max="12293" width="12.140625" style="3" customWidth="1"/>
    <col min="12294" max="12294" width="0" style="3" hidden="1" customWidth="1"/>
    <col min="12295" max="12295" width="12.140625" style="3" customWidth="1"/>
    <col min="12296" max="12296" width="0" style="3" hidden="1" customWidth="1"/>
    <col min="12297" max="12297" width="12.140625" style="3" customWidth="1"/>
    <col min="12298" max="12298" width="0" style="3" hidden="1" customWidth="1"/>
    <col min="12299" max="12299" width="10.42578125" style="3" customWidth="1"/>
    <col min="12300" max="12300" width="0" style="3" hidden="1" customWidth="1"/>
    <col min="12301" max="12301" width="10.42578125" style="3" customWidth="1"/>
    <col min="12302" max="12302" width="0" style="3" hidden="1" customWidth="1"/>
    <col min="12303" max="12303" width="10.42578125" style="3" customWidth="1"/>
    <col min="12304" max="12304" width="0" style="3" hidden="1" customWidth="1"/>
    <col min="12305" max="12305" width="10.42578125" style="3" customWidth="1"/>
    <col min="12306" max="12537" width="9.140625" style="3"/>
    <col min="12538" max="12543" width="0" style="3" hidden="1" customWidth="1"/>
    <col min="12544" max="12544" width="6.5703125" style="3" customWidth="1"/>
    <col min="12545" max="12545" width="58" style="3" customWidth="1"/>
    <col min="12546" max="12546" width="0" style="3" hidden="1" customWidth="1"/>
    <col min="12547" max="12547" width="12.140625" style="3" customWidth="1"/>
    <col min="12548" max="12548" width="0" style="3" hidden="1" customWidth="1"/>
    <col min="12549" max="12549" width="12.140625" style="3" customWidth="1"/>
    <col min="12550" max="12550" width="0" style="3" hidden="1" customWidth="1"/>
    <col min="12551" max="12551" width="12.140625" style="3" customWidth="1"/>
    <col min="12552" max="12552" width="0" style="3" hidden="1" customWidth="1"/>
    <col min="12553" max="12553" width="12.140625" style="3" customWidth="1"/>
    <col min="12554" max="12554" width="0" style="3" hidden="1" customWidth="1"/>
    <col min="12555" max="12555" width="10.42578125" style="3" customWidth="1"/>
    <col min="12556" max="12556" width="0" style="3" hidden="1" customWidth="1"/>
    <col min="12557" max="12557" width="10.42578125" style="3" customWidth="1"/>
    <col min="12558" max="12558" width="0" style="3" hidden="1" customWidth="1"/>
    <col min="12559" max="12559" width="10.42578125" style="3" customWidth="1"/>
    <col min="12560" max="12560" width="0" style="3" hidden="1" customWidth="1"/>
    <col min="12561" max="12561" width="10.42578125" style="3" customWidth="1"/>
    <col min="12562" max="12793" width="9.140625" style="3"/>
    <col min="12794" max="12799" width="0" style="3" hidden="1" customWidth="1"/>
    <col min="12800" max="12800" width="6.5703125" style="3" customWidth="1"/>
    <col min="12801" max="12801" width="58" style="3" customWidth="1"/>
    <col min="12802" max="12802" width="0" style="3" hidden="1" customWidth="1"/>
    <col min="12803" max="12803" width="12.140625" style="3" customWidth="1"/>
    <col min="12804" max="12804" width="0" style="3" hidden="1" customWidth="1"/>
    <col min="12805" max="12805" width="12.140625" style="3" customWidth="1"/>
    <col min="12806" max="12806" width="0" style="3" hidden="1" customWidth="1"/>
    <col min="12807" max="12807" width="12.140625" style="3" customWidth="1"/>
    <col min="12808" max="12808" width="0" style="3" hidden="1" customWidth="1"/>
    <col min="12809" max="12809" width="12.140625" style="3" customWidth="1"/>
    <col min="12810" max="12810" width="0" style="3" hidden="1" customWidth="1"/>
    <col min="12811" max="12811" width="10.42578125" style="3" customWidth="1"/>
    <col min="12812" max="12812" width="0" style="3" hidden="1" customWidth="1"/>
    <col min="12813" max="12813" width="10.42578125" style="3" customWidth="1"/>
    <col min="12814" max="12814" width="0" style="3" hidden="1" customWidth="1"/>
    <col min="12815" max="12815" width="10.42578125" style="3" customWidth="1"/>
    <col min="12816" max="12816" width="0" style="3" hidden="1" customWidth="1"/>
    <col min="12817" max="12817" width="10.42578125" style="3" customWidth="1"/>
    <col min="12818" max="13049" width="9.140625" style="3"/>
    <col min="13050" max="13055" width="0" style="3" hidden="1" customWidth="1"/>
    <col min="13056" max="13056" width="6.5703125" style="3" customWidth="1"/>
    <col min="13057" max="13057" width="58" style="3" customWidth="1"/>
    <col min="13058" max="13058" width="0" style="3" hidden="1" customWidth="1"/>
    <col min="13059" max="13059" width="12.140625" style="3" customWidth="1"/>
    <col min="13060" max="13060" width="0" style="3" hidden="1" customWidth="1"/>
    <col min="13061" max="13061" width="12.140625" style="3" customWidth="1"/>
    <col min="13062" max="13062" width="0" style="3" hidden="1" customWidth="1"/>
    <col min="13063" max="13063" width="12.140625" style="3" customWidth="1"/>
    <col min="13064" max="13064" width="0" style="3" hidden="1" customWidth="1"/>
    <col min="13065" max="13065" width="12.140625" style="3" customWidth="1"/>
    <col min="13066" max="13066" width="0" style="3" hidden="1" customWidth="1"/>
    <col min="13067" max="13067" width="10.42578125" style="3" customWidth="1"/>
    <col min="13068" max="13068" width="0" style="3" hidden="1" customWidth="1"/>
    <col min="13069" max="13069" width="10.42578125" style="3" customWidth="1"/>
    <col min="13070" max="13070" width="0" style="3" hidden="1" customWidth="1"/>
    <col min="13071" max="13071" width="10.42578125" style="3" customWidth="1"/>
    <col min="13072" max="13072" width="0" style="3" hidden="1" customWidth="1"/>
    <col min="13073" max="13073" width="10.42578125" style="3" customWidth="1"/>
    <col min="13074" max="13305" width="9.140625" style="3"/>
    <col min="13306" max="13311" width="0" style="3" hidden="1" customWidth="1"/>
    <col min="13312" max="13312" width="6.5703125" style="3" customWidth="1"/>
    <col min="13313" max="13313" width="58" style="3" customWidth="1"/>
    <col min="13314" max="13314" width="0" style="3" hidden="1" customWidth="1"/>
    <col min="13315" max="13315" width="12.140625" style="3" customWidth="1"/>
    <col min="13316" max="13316" width="0" style="3" hidden="1" customWidth="1"/>
    <col min="13317" max="13317" width="12.140625" style="3" customWidth="1"/>
    <col min="13318" max="13318" width="0" style="3" hidden="1" customWidth="1"/>
    <col min="13319" max="13319" width="12.140625" style="3" customWidth="1"/>
    <col min="13320" max="13320" width="0" style="3" hidden="1" customWidth="1"/>
    <col min="13321" max="13321" width="12.140625" style="3" customWidth="1"/>
    <col min="13322" max="13322" width="0" style="3" hidden="1" customWidth="1"/>
    <col min="13323" max="13323" width="10.42578125" style="3" customWidth="1"/>
    <col min="13324" max="13324" width="0" style="3" hidden="1" customWidth="1"/>
    <col min="13325" max="13325" width="10.42578125" style="3" customWidth="1"/>
    <col min="13326" max="13326" width="0" style="3" hidden="1" customWidth="1"/>
    <col min="13327" max="13327" width="10.42578125" style="3" customWidth="1"/>
    <col min="13328" max="13328" width="0" style="3" hidden="1" customWidth="1"/>
    <col min="13329" max="13329" width="10.42578125" style="3" customWidth="1"/>
    <col min="13330" max="13561" width="9.140625" style="3"/>
    <col min="13562" max="13567" width="0" style="3" hidden="1" customWidth="1"/>
    <col min="13568" max="13568" width="6.5703125" style="3" customWidth="1"/>
    <col min="13569" max="13569" width="58" style="3" customWidth="1"/>
    <col min="13570" max="13570" width="0" style="3" hidden="1" customWidth="1"/>
    <col min="13571" max="13571" width="12.140625" style="3" customWidth="1"/>
    <col min="13572" max="13572" width="0" style="3" hidden="1" customWidth="1"/>
    <col min="13573" max="13573" width="12.140625" style="3" customWidth="1"/>
    <col min="13574" max="13574" width="0" style="3" hidden="1" customWidth="1"/>
    <col min="13575" max="13575" width="12.140625" style="3" customWidth="1"/>
    <col min="13576" max="13576" width="0" style="3" hidden="1" customWidth="1"/>
    <col min="13577" max="13577" width="12.140625" style="3" customWidth="1"/>
    <col min="13578" max="13578" width="0" style="3" hidden="1" customWidth="1"/>
    <col min="13579" max="13579" width="10.42578125" style="3" customWidth="1"/>
    <col min="13580" max="13580" width="0" style="3" hidden="1" customWidth="1"/>
    <col min="13581" max="13581" width="10.42578125" style="3" customWidth="1"/>
    <col min="13582" max="13582" width="0" style="3" hidden="1" customWidth="1"/>
    <col min="13583" max="13583" width="10.42578125" style="3" customWidth="1"/>
    <col min="13584" max="13584" width="0" style="3" hidden="1" customWidth="1"/>
    <col min="13585" max="13585" width="10.42578125" style="3" customWidth="1"/>
    <col min="13586" max="13817" width="9.140625" style="3"/>
    <col min="13818" max="13823" width="0" style="3" hidden="1" customWidth="1"/>
    <col min="13824" max="13824" width="6.5703125" style="3" customWidth="1"/>
    <col min="13825" max="13825" width="58" style="3" customWidth="1"/>
    <col min="13826" max="13826" width="0" style="3" hidden="1" customWidth="1"/>
    <col min="13827" max="13827" width="12.140625" style="3" customWidth="1"/>
    <col min="13828" max="13828" width="0" style="3" hidden="1" customWidth="1"/>
    <col min="13829" max="13829" width="12.140625" style="3" customWidth="1"/>
    <col min="13830" max="13830" width="0" style="3" hidden="1" customWidth="1"/>
    <col min="13831" max="13831" width="12.140625" style="3" customWidth="1"/>
    <col min="13832" max="13832" width="0" style="3" hidden="1" customWidth="1"/>
    <col min="13833" max="13833" width="12.140625" style="3" customWidth="1"/>
    <col min="13834" max="13834" width="0" style="3" hidden="1" customWidth="1"/>
    <col min="13835" max="13835" width="10.42578125" style="3" customWidth="1"/>
    <col min="13836" max="13836" width="0" style="3" hidden="1" customWidth="1"/>
    <col min="13837" max="13837" width="10.42578125" style="3" customWidth="1"/>
    <col min="13838" max="13838" width="0" style="3" hidden="1" customWidth="1"/>
    <col min="13839" max="13839" width="10.42578125" style="3" customWidth="1"/>
    <col min="13840" max="13840" width="0" style="3" hidden="1" customWidth="1"/>
    <col min="13841" max="13841" width="10.42578125" style="3" customWidth="1"/>
    <col min="13842" max="14073" width="9.140625" style="3"/>
    <col min="14074" max="14079" width="0" style="3" hidden="1" customWidth="1"/>
    <col min="14080" max="14080" width="6.5703125" style="3" customWidth="1"/>
    <col min="14081" max="14081" width="58" style="3" customWidth="1"/>
    <col min="14082" max="14082" width="0" style="3" hidden="1" customWidth="1"/>
    <col min="14083" max="14083" width="12.140625" style="3" customWidth="1"/>
    <col min="14084" max="14084" width="0" style="3" hidden="1" customWidth="1"/>
    <col min="14085" max="14085" width="12.140625" style="3" customWidth="1"/>
    <col min="14086" max="14086" width="0" style="3" hidden="1" customWidth="1"/>
    <col min="14087" max="14087" width="12.140625" style="3" customWidth="1"/>
    <col min="14088" max="14088" width="0" style="3" hidden="1" customWidth="1"/>
    <col min="14089" max="14089" width="12.140625" style="3" customWidth="1"/>
    <col min="14090" max="14090" width="0" style="3" hidden="1" customWidth="1"/>
    <col min="14091" max="14091" width="10.42578125" style="3" customWidth="1"/>
    <col min="14092" max="14092" width="0" style="3" hidden="1" customWidth="1"/>
    <col min="14093" max="14093" width="10.42578125" style="3" customWidth="1"/>
    <col min="14094" max="14094" width="0" style="3" hidden="1" customWidth="1"/>
    <col min="14095" max="14095" width="10.42578125" style="3" customWidth="1"/>
    <col min="14096" max="14096" width="0" style="3" hidden="1" customWidth="1"/>
    <col min="14097" max="14097" width="10.42578125" style="3" customWidth="1"/>
    <col min="14098" max="14329" width="9.140625" style="3"/>
    <col min="14330" max="14335" width="0" style="3" hidden="1" customWidth="1"/>
    <col min="14336" max="14336" width="6.5703125" style="3" customWidth="1"/>
    <col min="14337" max="14337" width="58" style="3" customWidth="1"/>
    <col min="14338" max="14338" width="0" style="3" hidden="1" customWidth="1"/>
    <col min="14339" max="14339" width="12.140625" style="3" customWidth="1"/>
    <col min="14340" max="14340" width="0" style="3" hidden="1" customWidth="1"/>
    <col min="14341" max="14341" width="12.140625" style="3" customWidth="1"/>
    <col min="14342" max="14342" width="0" style="3" hidden="1" customWidth="1"/>
    <col min="14343" max="14343" width="12.140625" style="3" customWidth="1"/>
    <col min="14344" max="14344" width="0" style="3" hidden="1" customWidth="1"/>
    <col min="14345" max="14345" width="12.140625" style="3" customWidth="1"/>
    <col min="14346" max="14346" width="0" style="3" hidden="1" customWidth="1"/>
    <col min="14347" max="14347" width="10.42578125" style="3" customWidth="1"/>
    <col min="14348" max="14348" width="0" style="3" hidden="1" customWidth="1"/>
    <col min="14349" max="14349" width="10.42578125" style="3" customWidth="1"/>
    <col min="14350" max="14350" width="0" style="3" hidden="1" customWidth="1"/>
    <col min="14351" max="14351" width="10.42578125" style="3" customWidth="1"/>
    <col min="14352" max="14352" width="0" style="3" hidden="1" customWidth="1"/>
    <col min="14353" max="14353" width="10.42578125" style="3" customWidth="1"/>
    <col min="14354" max="14585" width="9.140625" style="3"/>
    <col min="14586" max="14591" width="0" style="3" hidden="1" customWidth="1"/>
    <col min="14592" max="14592" width="6.5703125" style="3" customWidth="1"/>
    <col min="14593" max="14593" width="58" style="3" customWidth="1"/>
    <col min="14594" max="14594" width="0" style="3" hidden="1" customWidth="1"/>
    <col min="14595" max="14595" width="12.140625" style="3" customWidth="1"/>
    <col min="14596" max="14596" width="0" style="3" hidden="1" customWidth="1"/>
    <col min="14597" max="14597" width="12.140625" style="3" customWidth="1"/>
    <col min="14598" max="14598" width="0" style="3" hidden="1" customWidth="1"/>
    <col min="14599" max="14599" width="12.140625" style="3" customWidth="1"/>
    <col min="14600" max="14600" width="0" style="3" hidden="1" customWidth="1"/>
    <col min="14601" max="14601" width="12.140625" style="3" customWidth="1"/>
    <col min="14602" max="14602" width="0" style="3" hidden="1" customWidth="1"/>
    <col min="14603" max="14603" width="10.42578125" style="3" customWidth="1"/>
    <col min="14604" max="14604" width="0" style="3" hidden="1" customWidth="1"/>
    <col min="14605" max="14605" width="10.42578125" style="3" customWidth="1"/>
    <col min="14606" max="14606" width="0" style="3" hidden="1" customWidth="1"/>
    <col min="14607" max="14607" width="10.42578125" style="3" customWidth="1"/>
    <col min="14608" max="14608" width="0" style="3" hidden="1" customWidth="1"/>
    <col min="14609" max="14609" width="10.42578125" style="3" customWidth="1"/>
    <col min="14610" max="14841" width="9.140625" style="3"/>
    <col min="14842" max="14847" width="0" style="3" hidden="1" customWidth="1"/>
    <col min="14848" max="14848" width="6.5703125" style="3" customWidth="1"/>
    <col min="14849" max="14849" width="58" style="3" customWidth="1"/>
    <col min="14850" max="14850" width="0" style="3" hidden="1" customWidth="1"/>
    <col min="14851" max="14851" width="12.140625" style="3" customWidth="1"/>
    <col min="14852" max="14852" width="0" style="3" hidden="1" customWidth="1"/>
    <col min="14853" max="14853" width="12.140625" style="3" customWidth="1"/>
    <col min="14854" max="14854" width="0" style="3" hidden="1" customWidth="1"/>
    <col min="14855" max="14855" width="12.140625" style="3" customWidth="1"/>
    <col min="14856" max="14856" width="0" style="3" hidden="1" customWidth="1"/>
    <col min="14857" max="14857" width="12.140625" style="3" customWidth="1"/>
    <col min="14858" max="14858" width="0" style="3" hidden="1" customWidth="1"/>
    <col min="14859" max="14859" width="10.42578125" style="3" customWidth="1"/>
    <col min="14860" max="14860" width="0" style="3" hidden="1" customWidth="1"/>
    <col min="14861" max="14861" width="10.42578125" style="3" customWidth="1"/>
    <col min="14862" max="14862" width="0" style="3" hidden="1" customWidth="1"/>
    <col min="14863" max="14863" width="10.42578125" style="3" customWidth="1"/>
    <col min="14864" max="14864" width="0" style="3" hidden="1" customWidth="1"/>
    <col min="14865" max="14865" width="10.42578125" style="3" customWidth="1"/>
    <col min="14866" max="15097" width="9.140625" style="3"/>
    <col min="15098" max="15103" width="0" style="3" hidden="1" customWidth="1"/>
    <col min="15104" max="15104" width="6.5703125" style="3" customWidth="1"/>
    <col min="15105" max="15105" width="58" style="3" customWidth="1"/>
    <col min="15106" max="15106" width="0" style="3" hidden="1" customWidth="1"/>
    <col min="15107" max="15107" width="12.140625" style="3" customWidth="1"/>
    <col min="15108" max="15108" width="0" style="3" hidden="1" customWidth="1"/>
    <col min="15109" max="15109" width="12.140625" style="3" customWidth="1"/>
    <col min="15110" max="15110" width="0" style="3" hidden="1" customWidth="1"/>
    <col min="15111" max="15111" width="12.140625" style="3" customWidth="1"/>
    <col min="15112" max="15112" width="0" style="3" hidden="1" customWidth="1"/>
    <col min="15113" max="15113" width="12.140625" style="3" customWidth="1"/>
    <col min="15114" max="15114" width="0" style="3" hidden="1" customWidth="1"/>
    <col min="15115" max="15115" width="10.42578125" style="3" customWidth="1"/>
    <col min="15116" max="15116" width="0" style="3" hidden="1" customWidth="1"/>
    <col min="15117" max="15117" width="10.42578125" style="3" customWidth="1"/>
    <col min="15118" max="15118" width="0" style="3" hidden="1" customWidth="1"/>
    <col min="15119" max="15119" width="10.42578125" style="3" customWidth="1"/>
    <col min="15120" max="15120" width="0" style="3" hidden="1" customWidth="1"/>
    <col min="15121" max="15121" width="10.42578125" style="3" customWidth="1"/>
    <col min="15122" max="15353" width="9.140625" style="3"/>
    <col min="15354" max="15359" width="0" style="3" hidden="1" customWidth="1"/>
    <col min="15360" max="15360" width="6.5703125" style="3" customWidth="1"/>
    <col min="15361" max="15361" width="58" style="3" customWidth="1"/>
    <col min="15362" max="15362" width="0" style="3" hidden="1" customWidth="1"/>
    <col min="15363" max="15363" width="12.140625" style="3" customWidth="1"/>
    <col min="15364" max="15364" width="0" style="3" hidden="1" customWidth="1"/>
    <col min="15365" max="15365" width="12.140625" style="3" customWidth="1"/>
    <col min="15366" max="15366" width="0" style="3" hidden="1" customWidth="1"/>
    <col min="15367" max="15367" width="12.140625" style="3" customWidth="1"/>
    <col min="15368" max="15368" width="0" style="3" hidden="1" customWidth="1"/>
    <col min="15369" max="15369" width="12.140625" style="3" customWidth="1"/>
    <col min="15370" max="15370" width="0" style="3" hidden="1" customWidth="1"/>
    <col min="15371" max="15371" width="10.42578125" style="3" customWidth="1"/>
    <col min="15372" max="15372" width="0" style="3" hidden="1" customWidth="1"/>
    <col min="15373" max="15373" width="10.42578125" style="3" customWidth="1"/>
    <col min="15374" max="15374" width="0" style="3" hidden="1" customWidth="1"/>
    <col min="15375" max="15375" width="10.42578125" style="3" customWidth="1"/>
    <col min="15376" max="15376" width="0" style="3" hidden="1" customWidth="1"/>
    <col min="15377" max="15377" width="10.42578125" style="3" customWidth="1"/>
    <col min="15378" max="15609" width="9.140625" style="3"/>
    <col min="15610" max="15615" width="0" style="3" hidden="1" customWidth="1"/>
    <col min="15616" max="15616" width="6.5703125" style="3" customWidth="1"/>
    <col min="15617" max="15617" width="58" style="3" customWidth="1"/>
    <col min="15618" max="15618" width="0" style="3" hidden="1" customWidth="1"/>
    <col min="15619" max="15619" width="12.140625" style="3" customWidth="1"/>
    <col min="15620" max="15620" width="0" style="3" hidden="1" customWidth="1"/>
    <col min="15621" max="15621" width="12.140625" style="3" customWidth="1"/>
    <col min="15622" max="15622" width="0" style="3" hidden="1" customWidth="1"/>
    <col min="15623" max="15623" width="12.140625" style="3" customWidth="1"/>
    <col min="15624" max="15624" width="0" style="3" hidden="1" customWidth="1"/>
    <col min="15625" max="15625" width="12.140625" style="3" customWidth="1"/>
    <col min="15626" max="15626" width="0" style="3" hidden="1" customWidth="1"/>
    <col min="15627" max="15627" width="10.42578125" style="3" customWidth="1"/>
    <col min="15628" max="15628" width="0" style="3" hidden="1" customWidth="1"/>
    <col min="15629" max="15629" width="10.42578125" style="3" customWidth="1"/>
    <col min="15630" max="15630" width="0" style="3" hidden="1" customWidth="1"/>
    <col min="15631" max="15631" width="10.42578125" style="3" customWidth="1"/>
    <col min="15632" max="15632" width="0" style="3" hidden="1" customWidth="1"/>
    <col min="15633" max="15633" width="10.42578125" style="3" customWidth="1"/>
    <col min="15634" max="15865" width="9.140625" style="3"/>
    <col min="15866" max="15871" width="0" style="3" hidden="1" customWidth="1"/>
    <col min="15872" max="15872" width="6.5703125" style="3" customWidth="1"/>
    <col min="15873" max="15873" width="58" style="3" customWidth="1"/>
    <col min="15874" max="15874" width="0" style="3" hidden="1" customWidth="1"/>
    <col min="15875" max="15875" width="12.140625" style="3" customWidth="1"/>
    <col min="15876" max="15876" width="0" style="3" hidden="1" customWidth="1"/>
    <col min="15877" max="15877" width="12.140625" style="3" customWidth="1"/>
    <col min="15878" max="15878" width="0" style="3" hidden="1" customWidth="1"/>
    <col min="15879" max="15879" width="12.140625" style="3" customWidth="1"/>
    <col min="15880" max="15880" width="0" style="3" hidden="1" customWidth="1"/>
    <col min="15881" max="15881" width="12.140625" style="3" customWidth="1"/>
    <col min="15882" max="15882" width="0" style="3" hidden="1" customWidth="1"/>
    <col min="15883" max="15883" width="10.42578125" style="3" customWidth="1"/>
    <col min="15884" max="15884" width="0" style="3" hidden="1" customWidth="1"/>
    <col min="15885" max="15885" width="10.42578125" style="3" customWidth="1"/>
    <col min="15886" max="15886" width="0" style="3" hidden="1" customWidth="1"/>
    <col min="15887" max="15887" width="10.42578125" style="3" customWidth="1"/>
    <col min="15888" max="15888" width="0" style="3" hidden="1" customWidth="1"/>
    <col min="15889" max="15889" width="10.42578125" style="3" customWidth="1"/>
    <col min="15890" max="16121" width="9.140625" style="3"/>
    <col min="16122" max="16127" width="0" style="3" hidden="1" customWidth="1"/>
    <col min="16128" max="16128" width="6.5703125" style="3" customWidth="1"/>
    <col min="16129" max="16129" width="58" style="3" customWidth="1"/>
    <col min="16130" max="16130" width="0" style="3" hidden="1" customWidth="1"/>
    <col min="16131" max="16131" width="12.140625" style="3" customWidth="1"/>
    <col min="16132" max="16132" width="0" style="3" hidden="1" customWidth="1"/>
    <col min="16133" max="16133" width="12.140625" style="3" customWidth="1"/>
    <col min="16134" max="16134" width="0" style="3" hidden="1" customWidth="1"/>
    <col min="16135" max="16135" width="12.140625" style="3" customWidth="1"/>
    <col min="16136" max="16136" width="0" style="3" hidden="1" customWidth="1"/>
    <col min="16137" max="16137" width="12.140625" style="3" customWidth="1"/>
    <col min="16138" max="16138" width="0" style="3" hidden="1" customWidth="1"/>
    <col min="16139" max="16139" width="10.42578125" style="3" customWidth="1"/>
    <col min="16140" max="16140" width="0" style="3" hidden="1" customWidth="1"/>
    <col min="16141" max="16141" width="10.42578125" style="3" customWidth="1"/>
    <col min="16142" max="16142" width="0" style="3" hidden="1" customWidth="1"/>
    <col min="16143" max="16143" width="10.42578125" style="3" customWidth="1"/>
    <col min="16144" max="16144" width="0" style="3" hidden="1" customWidth="1"/>
    <col min="16145" max="16145" width="10.42578125" style="3" customWidth="1"/>
    <col min="16146" max="16384" width="9.140625" style="3"/>
  </cols>
  <sheetData>
    <row r="1" spans="1:17" s="26" customFormat="1" ht="35.25" customHeight="1" x14ac:dyDescent="0.3">
      <c r="A1" s="25" t="s">
        <v>692</v>
      </c>
      <c r="B1" s="49"/>
      <c r="C1" s="50"/>
      <c r="D1" s="50"/>
      <c r="E1" s="50"/>
      <c r="F1" s="50"/>
      <c r="G1" s="25" t="s">
        <v>1100</v>
      </c>
      <c r="H1" s="49"/>
      <c r="I1" s="49"/>
      <c r="J1" s="49"/>
      <c r="K1" s="49"/>
      <c r="L1" s="49"/>
      <c r="M1" s="49"/>
      <c r="N1" s="49"/>
      <c r="O1" s="49"/>
      <c r="P1" s="49"/>
      <c r="Q1" s="49"/>
    </row>
    <row r="2" spans="1:17" s="26" customFormat="1" ht="21.75" customHeight="1" x14ac:dyDescent="0.3">
      <c r="A2" s="25"/>
      <c r="B2" s="49"/>
      <c r="C2" s="50"/>
      <c r="D2" s="50"/>
      <c r="E2" s="50"/>
      <c r="F2" s="50"/>
      <c r="G2" s="25"/>
      <c r="H2" s="262" t="s">
        <v>655</v>
      </c>
      <c r="I2" s="262"/>
      <c r="J2" s="262"/>
      <c r="K2" s="262"/>
      <c r="L2" s="262"/>
      <c r="M2" s="262"/>
      <c r="N2" s="262"/>
      <c r="O2" s="262"/>
      <c r="P2" s="262"/>
      <c r="Q2" s="49"/>
    </row>
    <row r="3" spans="1:17" ht="25.5" customHeight="1" x14ac:dyDescent="0.3">
      <c r="A3" s="263" t="s">
        <v>0</v>
      </c>
      <c r="B3" s="263"/>
      <c r="C3" s="263"/>
      <c r="D3" s="263"/>
      <c r="E3" s="263"/>
      <c r="F3" s="263"/>
      <c r="G3" s="263"/>
      <c r="H3" s="263" t="s">
        <v>1</v>
      </c>
      <c r="I3" s="91" t="s">
        <v>2</v>
      </c>
      <c r="J3" s="263" t="s">
        <v>946</v>
      </c>
      <c r="K3" s="263"/>
      <c r="L3" s="263"/>
      <c r="M3" s="263"/>
      <c r="N3" s="263"/>
      <c r="O3" s="77"/>
      <c r="P3" s="78"/>
      <c r="Q3" s="48" t="s">
        <v>2</v>
      </c>
    </row>
    <row r="4" spans="1:17" ht="18.75" hidden="1" customHeight="1" x14ac:dyDescent="0.3">
      <c r="A4" s="263"/>
      <c r="B4" s="263"/>
      <c r="C4" s="263"/>
      <c r="D4" s="263"/>
      <c r="E4" s="263"/>
      <c r="F4" s="263"/>
      <c r="G4" s="263"/>
      <c r="H4" s="263"/>
      <c r="I4" s="48"/>
      <c r="J4" s="48">
        <v>0.7</v>
      </c>
      <c r="K4" s="48"/>
      <c r="L4" s="48">
        <v>0.7</v>
      </c>
      <c r="M4" s="48"/>
      <c r="N4" s="48">
        <v>0.7</v>
      </c>
      <c r="O4" s="48"/>
      <c r="P4" s="48">
        <v>0.7</v>
      </c>
      <c r="Q4" s="48"/>
    </row>
    <row r="5" spans="1:17" ht="25.5" customHeight="1" x14ac:dyDescent="0.3">
      <c r="A5" s="263"/>
      <c r="B5" s="263"/>
      <c r="C5" s="263"/>
      <c r="D5" s="263"/>
      <c r="E5" s="263"/>
      <c r="F5" s="263"/>
      <c r="G5" s="263"/>
      <c r="H5" s="263"/>
      <c r="I5" s="27" t="s">
        <v>3</v>
      </c>
      <c r="J5" s="47" t="s">
        <v>3</v>
      </c>
      <c r="K5" s="27" t="s">
        <v>4</v>
      </c>
      <c r="L5" s="47" t="s">
        <v>4</v>
      </c>
      <c r="M5" s="27" t="s">
        <v>5</v>
      </c>
      <c r="N5" s="47" t="s">
        <v>5</v>
      </c>
      <c r="O5" s="27" t="s">
        <v>6</v>
      </c>
      <c r="P5" s="47" t="s">
        <v>6</v>
      </c>
      <c r="Q5" s="27" t="s">
        <v>3</v>
      </c>
    </row>
    <row r="6" spans="1:17" s="31" customFormat="1" ht="30" customHeight="1" x14ac:dyDescent="0.25">
      <c r="A6" s="28" t="s">
        <v>7</v>
      </c>
      <c r="B6" s="29" t="s">
        <v>179</v>
      </c>
      <c r="C6" s="30"/>
      <c r="D6" s="30"/>
      <c r="E6" s="30"/>
      <c r="F6" s="30"/>
      <c r="G6" s="28" t="s">
        <v>7</v>
      </c>
      <c r="H6" s="29" t="s">
        <v>179</v>
      </c>
      <c r="I6" s="29"/>
      <c r="J6" s="29"/>
      <c r="K6" s="29"/>
      <c r="L6" s="29"/>
      <c r="M6" s="29"/>
      <c r="N6" s="29"/>
      <c r="O6" s="29"/>
      <c r="P6" s="29"/>
      <c r="Q6" s="29"/>
    </row>
    <row r="7" spans="1:17" s="31" customFormat="1" ht="71.099999999999994" customHeight="1" x14ac:dyDescent="0.25">
      <c r="A7" s="2">
        <v>1</v>
      </c>
      <c r="B7" s="32" t="s">
        <v>180</v>
      </c>
      <c r="C7" s="86">
        <v>14000</v>
      </c>
      <c r="D7" s="86">
        <v>5000</v>
      </c>
      <c r="E7" s="86">
        <v>3300</v>
      </c>
      <c r="F7" s="86">
        <v>2300</v>
      </c>
      <c r="G7" s="2">
        <v>1</v>
      </c>
      <c r="H7" s="32" t="s">
        <v>180</v>
      </c>
      <c r="I7" s="51">
        <v>15400.000000000002</v>
      </c>
      <c r="J7" s="52">
        <f t="shared" ref="J7:J15" si="0">I7*$J$4</f>
        <v>10780</v>
      </c>
      <c r="K7" s="51">
        <v>5500</v>
      </c>
      <c r="L7" s="52">
        <f>K7*$L$4</f>
        <v>3849.9999999999995</v>
      </c>
      <c r="M7" s="51">
        <v>3630.0000000000005</v>
      </c>
      <c r="N7" s="52">
        <f>M7*$N$4</f>
        <v>2541</v>
      </c>
      <c r="O7" s="51">
        <v>2530</v>
      </c>
      <c r="P7" s="52">
        <f>O7*$P$4</f>
        <v>1771</v>
      </c>
      <c r="Q7" s="51">
        <v>15400.000000000002</v>
      </c>
    </row>
    <row r="8" spans="1:17" ht="72.75" customHeight="1" x14ac:dyDescent="0.3">
      <c r="A8" s="87">
        <v>2</v>
      </c>
      <c r="B8" s="32" t="s">
        <v>181</v>
      </c>
      <c r="C8" s="86">
        <v>12000</v>
      </c>
      <c r="D8" s="86">
        <v>5000</v>
      </c>
      <c r="E8" s="86">
        <v>3300</v>
      </c>
      <c r="F8" s="86">
        <v>2300</v>
      </c>
      <c r="G8" s="87">
        <v>2</v>
      </c>
      <c r="H8" s="32" t="s">
        <v>182</v>
      </c>
      <c r="I8" s="51">
        <v>13200.000000000002</v>
      </c>
      <c r="J8" s="52">
        <f t="shared" si="0"/>
        <v>9240</v>
      </c>
      <c r="K8" s="51">
        <v>5500</v>
      </c>
      <c r="L8" s="52">
        <f t="shared" ref="L8:L51" si="1">K8*$L$4</f>
        <v>3849.9999999999995</v>
      </c>
      <c r="M8" s="51">
        <v>3630.0000000000005</v>
      </c>
      <c r="N8" s="52">
        <f t="shared" ref="N8:N51" si="2">M8*$N$4</f>
        <v>2541</v>
      </c>
      <c r="O8" s="51">
        <v>2530</v>
      </c>
      <c r="P8" s="52">
        <f t="shared" ref="P8:P55" si="3">O8*$P$4</f>
        <v>1771</v>
      </c>
      <c r="Q8" s="51">
        <v>13200.000000000002</v>
      </c>
    </row>
    <row r="9" spans="1:17" ht="88.5" customHeight="1" x14ac:dyDescent="0.3">
      <c r="A9" s="2">
        <v>3</v>
      </c>
      <c r="B9" s="32" t="s">
        <v>183</v>
      </c>
      <c r="C9" s="86">
        <v>8000</v>
      </c>
      <c r="D9" s="86">
        <v>2300</v>
      </c>
      <c r="E9" s="86">
        <v>1100</v>
      </c>
      <c r="F9" s="86">
        <v>550</v>
      </c>
      <c r="G9" s="2">
        <v>3</v>
      </c>
      <c r="H9" s="32" t="s">
        <v>184</v>
      </c>
      <c r="I9" s="51">
        <v>8800</v>
      </c>
      <c r="J9" s="52">
        <f t="shared" si="0"/>
        <v>6160</v>
      </c>
      <c r="K9" s="51">
        <v>2530</v>
      </c>
      <c r="L9" s="52">
        <f t="shared" si="1"/>
        <v>1771</v>
      </c>
      <c r="M9" s="51">
        <v>1210</v>
      </c>
      <c r="N9" s="52">
        <f t="shared" si="2"/>
        <v>847</v>
      </c>
      <c r="O9" s="51">
        <v>605</v>
      </c>
      <c r="P9" s="52">
        <f t="shared" si="3"/>
        <v>423.5</v>
      </c>
      <c r="Q9" s="51">
        <v>8800</v>
      </c>
    </row>
    <row r="10" spans="1:17" ht="81" customHeight="1" x14ac:dyDescent="0.3">
      <c r="A10" s="87">
        <v>4</v>
      </c>
      <c r="B10" s="32" t="s">
        <v>185</v>
      </c>
      <c r="C10" s="86">
        <v>5000</v>
      </c>
      <c r="D10" s="86">
        <v>1600</v>
      </c>
      <c r="E10" s="86">
        <v>800</v>
      </c>
      <c r="F10" s="86">
        <v>450</v>
      </c>
      <c r="G10" s="87">
        <v>4</v>
      </c>
      <c r="H10" s="32" t="s">
        <v>186</v>
      </c>
      <c r="I10" s="51">
        <v>6768</v>
      </c>
      <c r="J10" s="52">
        <f t="shared" si="0"/>
        <v>4737.5999999999995</v>
      </c>
      <c r="K10" s="51">
        <v>2165.7600000000002</v>
      </c>
      <c r="L10" s="52">
        <f t="shared" si="1"/>
        <v>1516.0320000000002</v>
      </c>
      <c r="M10" s="51">
        <v>1082.8800000000001</v>
      </c>
      <c r="N10" s="52">
        <f t="shared" si="2"/>
        <v>758.01600000000008</v>
      </c>
      <c r="O10" s="51">
        <v>609.12</v>
      </c>
      <c r="P10" s="52">
        <f t="shared" si="3"/>
        <v>426.38399999999996</v>
      </c>
      <c r="Q10" s="51">
        <v>6768</v>
      </c>
    </row>
    <row r="11" spans="1:17" ht="41.25" customHeight="1" x14ac:dyDescent="0.3">
      <c r="A11" s="2">
        <v>5</v>
      </c>
      <c r="B11" s="32" t="s">
        <v>187</v>
      </c>
      <c r="C11" s="86">
        <v>10000</v>
      </c>
      <c r="D11" s="86">
        <v>4000</v>
      </c>
      <c r="E11" s="86"/>
      <c r="F11" s="86"/>
      <c r="G11" s="2">
        <v>5</v>
      </c>
      <c r="H11" s="32" t="s">
        <v>187</v>
      </c>
      <c r="I11" s="51">
        <v>11000</v>
      </c>
      <c r="J11" s="52">
        <f t="shared" si="0"/>
        <v>7699.9999999999991</v>
      </c>
      <c r="K11" s="51">
        <v>4400</v>
      </c>
      <c r="L11" s="52">
        <f t="shared" si="1"/>
        <v>3080</v>
      </c>
      <c r="M11" s="51"/>
      <c r="N11" s="52"/>
      <c r="O11" s="51"/>
      <c r="P11" s="52"/>
      <c r="Q11" s="51">
        <v>11000</v>
      </c>
    </row>
    <row r="12" spans="1:17" ht="70.5" customHeight="1" x14ac:dyDescent="0.3">
      <c r="A12" s="87">
        <v>6</v>
      </c>
      <c r="B12" s="85" t="s">
        <v>188</v>
      </c>
      <c r="C12" s="86">
        <v>11000</v>
      </c>
      <c r="D12" s="86">
        <v>3500</v>
      </c>
      <c r="E12" s="86">
        <v>1500</v>
      </c>
      <c r="F12" s="86">
        <v>750</v>
      </c>
      <c r="G12" s="87">
        <v>6</v>
      </c>
      <c r="H12" s="85" t="s">
        <v>189</v>
      </c>
      <c r="I12" s="51">
        <v>12100.000000000002</v>
      </c>
      <c r="J12" s="52">
        <f t="shared" si="0"/>
        <v>8470</v>
      </c>
      <c r="K12" s="51">
        <v>3850.0000000000005</v>
      </c>
      <c r="L12" s="52">
        <f t="shared" si="1"/>
        <v>2695</v>
      </c>
      <c r="M12" s="51">
        <v>1650.0000000000002</v>
      </c>
      <c r="N12" s="52">
        <f t="shared" si="2"/>
        <v>1155</v>
      </c>
      <c r="O12" s="51">
        <v>825.00000000000011</v>
      </c>
      <c r="P12" s="52">
        <f t="shared" si="3"/>
        <v>577.5</v>
      </c>
      <c r="Q12" s="51">
        <v>12100.000000000002</v>
      </c>
    </row>
    <row r="13" spans="1:17" ht="74.25" customHeight="1" x14ac:dyDescent="0.3">
      <c r="A13" s="2">
        <v>7</v>
      </c>
      <c r="B13" s="32" t="s">
        <v>190</v>
      </c>
      <c r="C13" s="86">
        <v>8000</v>
      </c>
      <c r="D13" s="86">
        <f>C13*50%</f>
        <v>4000</v>
      </c>
      <c r="E13" s="86">
        <v>1700</v>
      </c>
      <c r="F13" s="86">
        <v>500</v>
      </c>
      <c r="G13" s="2">
        <v>7</v>
      </c>
      <c r="H13" s="32" t="s">
        <v>191</v>
      </c>
      <c r="I13" s="51">
        <v>8800</v>
      </c>
      <c r="J13" s="52">
        <f t="shared" si="0"/>
        <v>6160</v>
      </c>
      <c r="K13" s="51">
        <v>4400</v>
      </c>
      <c r="L13" s="52">
        <f t="shared" si="1"/>
        <v>3080</v>
      </c>
      <c r="M13" s="51">
        <v>1870.0000000000002</v>
      </c>
      <c r="N13" s="52">
        <f t="shared" si="2"/>
        <v>1309</v>
      </c>
      <c r="O13" s="51">
        <v>550</v>
      </c>
      <c r="P13" s="52">
        <f t="shared" si="3"/>
        <v>385</v>
      </c>
      <c r="Q13" s="51">
        <v>8800</v>
      </c>
    </row>
    <row r="14" spans="1:17" ht="72" customHeight="1" x14ac:dyDescent="0.3">
      <c r="A14" s="2">
        <v>8</v>
      </c>
      <c r="B14" s="32" t="s">
        <v>693</v>
      </c>
      <c r="C14" s="86">
        <v>5000</v>
      </c>
      <c r="D14" s="86">
        <f>C14*50%</f>
        <v>2500</v>
      </c>
      <c r="E14" s="86">
        <v>1700</v>
      </c>
      <c r="F14" s="86">
        <v>500</v>
      </c>
      <c r="G14" s="2">
        <v>8</v>
      </c>
      <c r="H14" s="32" t="s">
        <v>192</v>
      </c>
      <c r="I14" s="51">
        <v>5500</v>
      </c>
      <c r="J14" s="52">
        <f t="shared" si="0"/>
        <v>3849.9999999999995</v>
      </c>
      <c r="K14" s="51">
        <v>2750</v>
      </c>
      <c r="L14" s="52">
        <f t="shared" si="1"/>
        <v>1924.9999999999998</v>
      </c>
      <c r="M14" s="51">
        <v>1870.0000000000002</v>
      </c>
      <c r="N14" s="52">
        <f t="shared" si="2"/>
        <v>1309</v>
      </c>
      <c r="O14" s="51">
        <v>550</v>
      </c>
      <c r="P14" s="52">
        <f t="shared" si="3"/>
        <v>385</v>
      </c>
      <c r="Q14" s="51">
        <v>5500</v>
      </c>
    </row>
    <row r="15" spans="1:17" ht="53.25" customHeight="1" x14ac:dyDescent="0.3">
      <c r="A15" s="53"/>
      <c r="B15" s="53"/>
      <c r="C15" s="33"/>
      <c r="D15" s="34"/>
      <c r="E15" s="35"/>
      <c r="F15" s="35"/>
      <c r="G15" s="2">
        <v>9</v>
      </c>
      <c r="H15" s="32" t="s">
        <v>193</v>
      </c>
      <c r="I15" s="51">
        <v>1980</v>
      </c>
      <c r="J15" s="52">
        <f t="shared" si="0"/>
        <v>1386</v>
      </c>
      <c r="K15" s="51">
        <v>1100.088</v>
      </c>
      <c r="L15" s="52">
        <f t="shared" si="1"/>
        <v>770.06159999999988</v>
      </c>
      <c r="M15" s="51">
        <v>770.10120000000006</v>
      </c>
      <c r="N15" s="52">
        <f t="shared" si="2"/>
        <v>539.07083999999998</v>
      </c>
      <c r="O15" s="51"/>
      <c r="P15" s="52"/>
      <c r="Q15" s="51">
        <v>1980</v>
      </c>
    </row>
    <row r="16" spans="1:17" s="31" customFormat="1" ht="33.75" customHeight="1" x14ac:dyDescent="0.25">
      <c r="A16" s="28" t="s">
        <v>14</v>
      </c>
      <c r="B16" s="29" t="s">
        <v>194</v>
      </c>
      <c r="C16" s="54"/>
      <c r="D16" s="54"/>
      <c r="E16" s="54"/>
      <c r="F16" s="54"/>
      <c r="G16" s="28" t="s">
        <v>14</v>
      </c>
      <c r="H16" s="29" t="s">
        <v>194</v>
      </c>
      <c r="I16" s="55"/>
      <c r="J16" s="52"/>
      <c r="K16" s="55"/>
      <c r="L16" s="52"/>
      <c r="M16" s="55"/>
      <c r="N16" s="52"/>
      <c r="O16" s="55"/>
      <c r="P16" s="52"/>
      <c r="Q16" s="55"/>
    </row>
    <row r="17" spans="1:17" ht="56.25" hidden="1" customHeight="1" x14ac:dyDescent="0.3">
      <c r="A17" s="87">
        <v>1</v>
      </c>
      <c r="B17" s="32" t="s">
        <v>694</v>
      </c>
      <c r="C17" s="86">
        <v>4000</v>
      </c>
      <c r="D17" s="86">
        <v>1700</v>
      </c>
      <c r="E17" s="86"/>
      <c r="F17" s="86"/>
      <c r="G17" s="87"/>
      <c r="H17" s="32"/>
      <c r="I17" s="51"/>
      <c r="J17" s="52">
        <f t="shared" ref="J17:J27" si="4">I17*$J$4</f>
        <v>0</v>
      </c>
      <c r="K17" s="51"/>
      <c r="L17" s="52">
        <f t="shared" si="1"/>
        <v>0</v>
      </c>
      <c r="M17" s="51"/>
      <c r="N17" s="52">
        <f t="shared" si="2"/>
        <v>0</v>
      </c>
      <c r="O17" s="51"/>
      <c r="P17" s="52">
        <f t="shared" si="3"/>
        <v>0</v>
      </c>
      <c r="Q17" s="51"/>
    </row>
    <row r="18" spans="1:17" ht="36" customHeight="1" x14ac:dyDescent="0.3">
      <c r="A18" s="87">
        <v>2</v>
      </c>
      <c r="B18" s="32" t="s">
        <v>195</v>
      </c>
      <c r="C18" s="86">
        <v>5000</v>
      </c>
      <c r="D18" s="86">
        <v>1800</v>
      </c>
      <c r="E18" s="86">
        <v>1000</v>
      </c>
      <c r="F18" s="86">
        <v>500</v>
      </c>
      <c r="G18" s="87">
        <v>1</v>
      </c>
      <c r="H18" s="32" t="s">
        <v>195</v>
      </c>
      <c r="I18" s="51">
        <v>5500</v>
      </c>
      <c r="J18" s="52">
        <f t="shared" si="4"/>
        <v>3849.9999999999995</v>
      </c>
      <c r="K18" s="51">
        <v>1980.0000000000002</v>
      </c>
      <c r="L18" s="52">
        <f t="shared" si="1"/>
        <v>1386</v>
      </c>
      <c r="M18" s="51">
        <v>1100</v>
      </c>
      <c r="N18" s="52">
        <f t="shared" si="2"/>
        <v>770</v>
      </c>
      <c r="O18" s="51">
        <v>550</v>
      </c>
      <c r="P18" s="52">
        <f t="shared" si="3"/>
        <v>385</v>
      </c>
      <c r="Q18" s="51">
        <v>5500</v>
      </c>
    </row>
    <row r="19" spans="1:17" ht="58.5" customHeight="1" x14ac:dyDescent="0.3">
      <c r="A19" s="87">
        <v>3</v>
      </c>
      <c r="B19" s="32" t="s">
        <v>196</v>
      </c>
      <c r="C19" s="86">
        <v>3000</v>
      </c>
      <c r="D19" s="86">
        <v>900</v>
      </c>
      <c r="E19" s="86">
        <v>500</v>
      </c>
      <c r="F19" s="86"/>
      <c r="G19" s="87">
        <v>2</v>
      </c>
      <c r="H19" s="32" t="s">
        <v>196</v>
      </c>
      <c r="I19" s="51">
        <v>3300.0000000000005</v>
      </c>
      <c r="J19" s="52">
        <f t="shared" si="4"/>
        <v>2310</v>
      </c>
      <c r="K19" s="51">
        <v>990.00000000000011</v>
      </c>
      <c r="L19" s="52">
        <f t="shared" si="1"/>
        <v>693</v>
      </c>
      <c r="M19" s="51">
        <v>550</v>
      </c>
      <c r="N19" s="52">
        <f t="shared" si="2"/>
        <v>385</v>
      </c>
      <c r="O19" s="51"/>
      <c r="P19" s="52"/>
      <c r="Q19" s="51">
        <v>3300.0000000000005</v>
      </c>
    </row>
    <row r="20" spans="1:17" ht="45.75" customHeight="1" x14ac:dyDescent="0.3">
      <c r="A20" s="87">
        <v>4</v>
      </c>
      <c r="B20" s="32" t="s">
        <v>197</v>
      </c>
      <c r="C20" s="86">
        <v>1000</v>
      </c>
      <c r="D20" s="86">
        <v>600</v>
      </c>
      <c r="E20" s="86">
        <v>450</v>
      </c>
      <c r="F20" s="86"/>
      <c r="G20" s="87">
        <v>3</v>
      </c>
      <c r="H20" s="32" t="s">
        <v>197</v>
      </c>
      <c r="I20" s="51">
        <v>1100</v>
      </c>
      <c r="J20" s="52">
        <f t="shared" si="4"/>
        <v>770</v>
      </c>
      <c r="K20" s="51">
        <v>660</v>
      </c>
      <c r="L20" s="52">
        <f t="shared" si="1"/>
        <v>461.99999999999994</v>
      </c>
      <c r="M20" s="51">
        <v>495.00000000000006</v>
      </c>
      <c r="N20" s="52">
        <f t="shared" si="2"/>
        <v>346.5</v>
      </c>
      <c r="O20" s="51"/>
      <c r="P20" s="52"/>
      <c r="Q20" s="51">
        <v>1100</v>
      </c>
    </row>
    <row r="21" spans="1:17" ht="51.75" customHeight="1" x14ac:dyDescent="0.3">
      <c r="A21" s="87">
        <v>5</v>
      </c>
      <c r="B21" s="32" t="s">
        <v>198</v>
      </c>
      <c r="C21" s="86">
        <v>3000</v>
      </c>
      <c r="D21" s="86">
        <v>1700</v>
      </c>
      <c r="E21" s="86"/>
      <c r="F21" s="86"/>
      <c r="G21" s="87">
        <v>4</v>
      </c>
      <c r="H21" s="32" t="s">
        <v>198</v>
      </c>
      <c r="I21" s="51">
        <v>3300.0000000000005</v>
      </c>
      <c r="J21" s="52">
        <f t="shared" si="4"/>
        <v>2310</v>
      </c>
      <c r="K21" s="51">
        <v>1870.0000000000002</v>
      </c>
      <c r="L21" s="52">
        <f t="shared" si="1"/>
        <v>1309</v>
      </c>
      <c r="M21" s="51"/>
      <c r="N21" s="52"/>
      <c r="O21" s="51"/>
      <c r="P21" s="52"/>
      <c r="Q21" s="51">
        <v>3300.0000000000005</v>
      </c>
    </row>
    <row r="22" spans="1:17" ht="84" customHeight="1" x14ac:dyDescent="0.3">
      <c r="A22" s="87">
        <v>6</v>
      </c>
      <c r="B22" s="32" t="s">
        <v>695</v>
      </c>
      <c r="C22" s="86">
        <v>3000</v>
      </c>
      <c r="D22" s="86">
        <v>1700</v>
      </c>
      <c r="E22" s="86">
        <v>1150</v>
      </c>
      <c r="F22" s="86"/>
      <c r="G22" s="87">
        <v>5</v>
      </c>
      <c r="H22" s="32" t="s">
        <v>199</v>
      </c>
      <c r="I22" s="51">
        <v>3300.0000000000005</v>
      </c>
      <c r="J22" s="52">
        <f t="shared" si="4"/>
        <v>2310</v>
      </c>
      <c r="K22" s="51">
        <v>1870.0000000000002</v>
      </c>
      <c r="L22" s="52">
        <f t="shared" si="1"/>
        <v>1309</v>
      </c>
      <c r="M22" s="51">
        <v>1265</v>
      </c>
      <c r="N22" s="52">
        <f t="shared" si="2"/>
        <v>885.5</v>
      </c>
      <c r="O22" s="51"/>
      <c r="P22" s="52"/>
      <c r="Q22" s="51">
        <v>3300.0000000000005</v>
      </c>
    </row>
    <row r="23" spans="1:17" ht="18.75" hidden="1" customHeight="1" x14ac:dyDescent="0.3">
      <c r="A23" s="87">
        <v>7</v>
      </c>
      <c r="B23" s="32"/>
      <c r="C23" s="86"/>
      <c r="D23" s="86"/>
      <c r="E23" s="86"/>
      <c r="F23" s="86"/>
      <c r="G23" s="87">
        <v>6</v>
      </c>
      <c r="H23" s="32"/>
      <c r="I23" s="51">
        <v>2200</v>
      </c>
      <c r="J23" s="52">
        <f t="shared" si="4"/>
        <v>1540</v>
      </c>
      <c r="K23" s="51">
        <v>1320</v>
      </c>
      <c r="L23" s="52">
        <f t="shared" si="1"/>
        <v>923.99999999999989</v>
      </c>
      <c r="M23" s="51">
        <v>660</v>
      </c>
      <c r="N23" s="52">
        <f t="shared" si="2"/>
        <v>461.99999999999994</v>
      </c>
      <c r="O23" s="51"/>
      <c r="P23" s="52">
        <f t="shared" si="3"/>
        <v>0</v>
      </c>
      <c r="Q23" s="51">
        <v>2200</v>
      </c>
    </row>
    <row r="24" spans="1:17" ht="57" customHeight="1" x14ac:dyDescent="0.3">
      <c r="A24" s="87">
        <v>8</v>
      </c>
      <c r="B24" s="32" t="s">
        <v>696</v>
      </c>
      <c r="C24" s="86">
        <v>2000</v>
      </c>
      <c r="D24" s="86">
        <v>1200</v>
      </c>
      <c r="E24" s="86">
        <v>600</v>
      </c>
      <c r="F24" s="86"/>
      <c r="G24" s="87">
        <v>6</v>
      </c>
      <c r="H24" s="32" t="s">
        <v>1060</v>
      </c>
      <c r="I24" s="51">
        <v>2200</v>
      </c>
      <c r="J24" s="52">
        <f t="shared" si="4"/>
        <v>1540</v>
      </c>
      <c r="K24" s="51">
        <v>1320</v>
      </c>
      <c r="L24" s="52">
        <f t="shared" si="1"/>
        <v>923.99999999999989</v>
      </c>
      <c r="M24" s="51">
        <v>715.00000000000011</v>
      </c>
      <c r="N24" s="52">
        <f t="shared" si="2"/>
        <v>500.50000000000006</v>
      </c>
      <c r="O24" s="51">
        <v>330</v>
      </c>
      <c r="P24" s="52">
        <f t="shared" si="3"/>
        <v>230.99999999999997</v>
      </c>
      <c r="Q24" s="51">
        <v>2200</v>
      </c>
    </row>
    <row r="25" spans="1:17" ht="65.25" customHeight="1" x14ac:dyDescent="0.3">
      <c r="A25" s="87">
        <v>9</v>
      </c>
      <c r="B25" s="32" t="s">
        <v>697</v>
      </c>
      <c r="C25" s="86">
        <v>2000</v>
      </c>
      <c r="D25" s="86">
        <v>1200</v>
      </c>
      <c r="E25" s="86">
        <v>650</v>
      </c>
      <c r="F25" s="86">
        <v>300</v>
      </c>
      <c r="G25" s="87">
        <v>7</v>
      </c>
      <c r="H25" s="32" t="s">
        <v>200</v>
      </c>
      <c r="I25" s="51">
        <v>2200</v>
      </c>
      <c r="J25" s="52">
        <f t="shared" si="4"/>
        <v>1540</v>
      </c>
      <c r="K25" s="51">
        <v>1320</v>
      </c>
      <c r="L25" s="52">
        <f t="shared" si="1"/>
        <v>923.99999999999989</v>
      </c>
      <c r="M25" s="51">
        <v>715</v>
      </c>
      <c r="N25" s="52">
        <f t="shared" si="2"/>
        <v>500.49999999999994</v>
      </c>
      <c r="O25" s="51">
        <v>330</v>
      </c>
      <c r="P25" s="52">
        <f t="shared" si="3"/>
        <v>230.99999999999997</v>
      </c>
      <c r="Q25" s="51">
        <v>2200</v>
      </c>
    </row>
    <row r="26" spans="1:17" ht="67.5" customHeight="1" x14ac:dyDescent="0.3">
      <c r="A26" s="87">
        <v>10</v>
      </c>
      <c r="B26" s="32" t="s">
        <v>698</v>
      </c>
      <c r="C26" s="86">
        <v>800</v>
      </c>
      <c r="D26" s="86">
        <f>C26*60%</f>
        <v>480</v>
      </c>
      <c r="E26" s="86">
        <f>C26*40%</f>
        <v>320</v>
      </c>
      <c r="F26" s="86">
        <f>C26*20%</f>
        <v>160</v>
      </c>
      <c r="G26" s="87">
        <v>8</v>
      </c>
      <c r="H26" s="32" t="s">
        <v>201</v>
      </c>
      <c r="I26" s="51">
        <v>880</v>
      </c>
      <c r="J26" s="52">
        <f t="shared" si="4"/>
        <v>616</v>
      </c>
      <c r="K26" s="51">
        <v>528</v>
      </c>
      <c r="L26" s="52">
        <f t="shared" si="1"/>
        <v>369.59999999999997</v>
      </c>
      <c r="M26" s="51">
        <v>352</v>
      </c>
      <c r="N26" s="52">
        <f t="shared" si="2"/>
        <v>246.39999999999998</v>
      </c>
      <c r="O26" s="51">
        <v>176</v>
      </c>
      <c r="P26" s="52">
        <f t="shared" si="3"/>
        <v>123.19999999999999</v>
      </c>
      <c r="Q26" s="51">
        <v>880</v>
      </c>
    </row>
    <row r="27" spans="1:17" ht="75.75" customHeight="1" x14ac:dyDescent="0.3">
      <c r="A27" s="87">
        <v>11</v>
      </c>
      <c r="B27" s="32" t="s">
        <v>699</v>
      </c>
      <c r="C27" s="86">
        <v>1000</v>
      </c>
      <c r="D27" s="86">
        <f>C27*60%</f>
        <v>600</v>
      </c>
      <c r="E27" s="86">
        <f>C27*40%</f>
        <v>400</v>
      </c>
      <c r="F27" s="86">
        <f>C27*20%</f>
        <v>200</v>
      </c>
      <c r="G27" s="87">
        <v>9</v>
      </c>
      <c r="H27" s="32" t="s">
        <v>202</v>
      </c>
      <c r="I27" s="51">
        <v>1100</v>
      </c>
      <c r="J27" s="52">
        <f t="shared" si="4"/>
        <v>770</v>
      </c>
      <c r="K27" s="51">
        <v>660</v>
      </c>
      <c r="L27" s="52">
        <f t="shared" si="1"/>
        <v>461.99999999999994</v>
      </c>
      <c r="M27" s="51">
        <v>440.00000000000006</v>
      </c>
      <c r="N27" s="52">
        <f t="shared" si="2"/>
        <v>308</v>
      </c>
      <c r="O27" s="51">
        <v>220.00000000000003</v>
      </c>
      <c r="P27" s="52">
        <f t="shared" si="3"/>
        <v>154</v>
      </c>
      <c r="Q27" s="51">
        <v>1100</v>
      </c>
    </row>
    <row r="28" spans="1:17" s="31" customFormat="1" ht="36" customHeight="1" x14ac:dyDescent="0.25">
      <c r="A28" s="28" t="s">
        <v>17</v>
      </c>
      <c r="B28" s="29" t="s">
        <v>203</v>
      </c>
      <c r="C28" s="54"/>
      <c r="D28" s="54"/>
      <c r="E28" s="54"/>
      <c r="F28" s="54"/>
      <c r="G28" s="28" t="s">
        <v>17</v>
      </c>
      <c r="H28" s="29" t="s">
        <v>203</v>
      </c>
      <c r="I28" s="56"/>
      <c r="J28" s="52"/>
      <c r="K28" s="56"/>
      <c r="L28" s="52"/>
      <c r="M28" s="56"/>
      <c r="N28" s="52"/>
      <c r="O28" s="56"/>
      <c r="P28" s="52"/>
      <c r="Q28" s="56"/>
    </row>
    <row r="29" spans="1:17" ht="82.5" customHeight="1" x14ac:dyDescent="0.3">
      <c r="A29" s="87">
        <v>1</v>
      </c>
      <c r="B29" s="32" t="s">
        <v>700</v>
      </c>
      <c r="C29" s="86">
        <v>12000</v>
      </c>
      <c r="D29" s="86">
        <v>4500</v>
      </c>
      <c r="E29" s="86">
        <v>2600</v>
      </c>
      <c r="F29" s="86">
        <v>1700</v>
      </c>
      <c r="G29" s="87">
        <v>1</v>
      </c>
      <c r="H29" s="32" t="s">
        <v>204</v>
      </c>
      <c r="I29" s="56">
        <v>14640</v>
      </c>
      <c r="J29" s="52">
        <f t="shared" ref="J29:J37" si="5">I29*$J$4</f>
        <v>10248</v>
      </c>
      <c r="K29" s="56">
        <v>5490</v>
      </c>
      <c r="L29" s="52">
        <f t="shared" si="1"/>
        <v>3842.9999999999995</v>
      </c>
      <c r="M29" s="56">
        <v>3172.4879999999998</v>
      </c>
      <c r="N29" s="52">
        <f t="shared" si="2"/>
        <v>2220.7415999999998</v>
      </c>
      <c r="O29" s="56">
        <v>2074.4879999999998</v>
      </c>
      <c r="P29" s="52">
        <f t="shared" si="3"/>
        <v>1452.1415999999997</v>
      </c>
      <c r="Q29" s="56">
        <v>14640</v>
      </c>
    </row>
    <row r="30" spans="1:17" ht="71.25" customHeight="1" x14ac:dyDescent="0.3">
      <c r="A30" s="87">
        <v>2</v>
      </c>
      <c r="B30" s="32" t="s">
        <v>701</v>
      </c>
      <c r="C30" s="86">
        <v>10000</v>
      </c>
      <c r="D30" s="86">
        <v>4500</v>
      </c>
      <c r="E30" s="86">
        <v>2600</v>
      </c>
      <c r="F30" s="86">
        <v>1700</v>
      </c>
      <c r="G30" s="87">
        <v>2</v>
      </c>
      <c r="H30" s="32" t="s">
        <v>205</v>
      </c>
      <c r="I30" s="51">
        <v>12240</v>
      </c>
      <c r="J30" s="52">
        <f t="shared" si="5"/>
        <v>8568</v>
      </c>
      <c r="K30" s="51">
        <v>5490</v>
      </c>
      <c r="L30" s="52">
        <f t="shared" si="1"/>
        <v>3842.9999999999995</v>
      </c>
      <c r="M30" s="51">
        <v>3172</v>
      </c>
      <c r="N30" s="52">
        <f t="shared" si="2"/>
        <v>2220.3999999999996</v>
      </c>
      <c r="O30" s="51">
        <v>2074</v>
      </c>
      <c r="P30" s="52">
        <f t="shared" si="3"/>
        <v>1451.8</v>
      </c>
      <c r="Q30" s="51">
        <v>12240</v>
      </c>
    </row>
    <row r="31" spans="1:17" ht="56.25" customHeight="1" x14ac:dyDescent="0.3">
      <c r="A31" s="87">
        <v>3</v>
      </c>
      <c r="B31" s="85" t="s">
        <v>702</v>
      </c>
      <c r="C31" s="86">
        <v>8000</v>
      </c>
      <c r="D31" s="86">
        <v>2900</v>
      </c>
      <c r="E31" s="86">
        <v>1800</v>
      </c>
      <c r="F31" s="86">
        <v>850</v>
      </c>
      <c r="G31" s="87">
        <v>3</v>
      </c>
      <c r="H31" s="85" t="s">
        <v>206</v>
      </c>
      <c r="I31" s="51">
        <v>11797</v>
      </c>
      <c r="J31" s="52">
        <f t="shared" si="5"/>
        <v>8257.9</v>
      </c>
      <c r="K31" s="51">
        <v>4276.4124999999995</v>
      </c>
      <c r="L31" s="52">
        <f t="shared" si="1"/>
        <v>2993.4887499999995</v>
      </c>
      <c r="M31" s="51">
        <v>2654.3250000000003</v>
      </c>
      <c r="N31" s="52">
        <f t="shared" si="2"/>
        <v>1858.0275000000001</v>
      </c>
      <c r="O31" s="51">
        <v>1254.0211000000002</v>
      </c>
      <c r="P31" s="52">
        <f t="shared" si="3"/>
        <v>877.81477000000007</v>
      </c>
      <c r="Q31" s="51">
        <v>11797</v>
      </c>
    </row>
    <row r="32" spans="1:17" ht="78.75" customHeight="1" x14ac:dyDescent="0.3">
      <c r="A32" s="87">
        <v>4</v>
      </c>
      <c r="B32" s="85" t="s">
        <v>703</v>
      </c>
      <c r="C32" s="86">
        <v>5000</v>
      </c>
      <c r="D32" s="86">
        <v>2900</v>
      </c>
      <c r="E32" s="86">
        <v>1800</v>
      </c>
      <c r="F32" s="86">
        <v>850</v>
      </c>
      <c r="G32" s="87">
        <v>4</v>
      </c>
      <c r="H32" s="85" t="s">
        <v>207</v>
      </c>
      <c r="I32" s="51">
        <v>5500</v>
      </c>
      <c r="J32" s="52">
        <f t="shared" si="5"/>
        <v>3849.9999999999995</v>
      </c>
      <c r="K32" s="51">
        <v>3190.0000000000005</v>
      </c>
      <c r="L32" s="52">
        <f t="shared" si="1"/>
        <v>2233</v>
      </c>
      <c r="M32" s="51">
        <v>1980.0000000000002</v>
      </c>
      <c r="N32" s="52">
        <f t="shared" si="2"/>
        <v>1386</v>
      </c>
      <c r="O32" s="51">
        <v>935.00000000000011</v>
      </c>
      <c r="P32" s="52">
        <f t="shared" si="3"/>
        <v>654.5</v>
      </c>
      <c r="Q32" s="51">
        <v>5500</v>
      </c>
    </row>
    <row r="33" spans="1:17" ht="64.5" customHeight="1" x14ac:dyDescent="0.3">
      <c r="A33" s="87">
        <v>5</v>
      </c>
      <c r="B33" s="32" t="s">
        <v>704</v>
      </c>
      <c r="C33" s="86">
        <v>4000</v>
      </c>
      <c r="D33" s="86">
        <v>3000</v>
      </c>
      <c r="E33" s="86">
        <v>2000</v>
      </c>
      <c r="F33" s="86">
        <v>1000</v>
      </c>
      <c r="G33" s="87">
        <v>5</v>
      </c>
      <c r="H33" s="32" t="s">
        <v>208</v>
      </c>
      <c r="I33" s="51">
        <v>5172</v>
      </c>
      <c r="J33" s="52">
        <f t="shared" si="5"/>
        <v>3620.3999999999996</v>
      </c>
      <c r="K33" s="51">
        <v>3879</v>
      </c>
      <c r="L33" s="52">
        <f t="shared" si="1"/>
        <v>2715.2999999999997</v>
      </c>
      <c r="M33" s="51">
        <v>2586</v>
      </c>
      <c r="N33" s="52">
        <f t="shared" si="2"/>
        <v>1810.1999999999998</v>
      </c>
      <c r="O33" s="51">
        <v>1293</v>
      </c>
      <c r="P33" s="52">
        <f t="shared" si="3"/>
        <v>905.09999999999991</v>
      </c>
      <c r="Q33" s="51">
        <v>5172</v>
      </c>
    </row>
    <row r="34" spans="1:17" ht="70.5" customHeight="1" x14ac:dyDescent="0.3">
      <c r="A34" s="87">
        <v>6</v>
      </c>
      <c r="B34" s="32" t="s">
        <v>705</v>
      </c>
      <c r="C34" s="86">
        <v>3000</v>
      </c>
      <c r="D34" s="86">
        <v>2100</v>
      </c>
      <c r="E34" s="86">
        <v>1700</v>
      </c>
      <c r="F34" s="86">
        <v>1000</v>
      </c>
      <c r="G34" s="87">
        <v>6</v>
      </c>
      <c r="H34" s="32" t="s">
        <v>209</v>
      </c>
      <c r="I34" s="51">
        <v>3300.0000000000005</v>
      </c>
      <c r="J34" s="52">
        <f t="shared" si="5"/>
        <v>2310</v>
      </c>
      <c r="K34" s="51">
        <v>2310</v>
      </c>
      <c r="L34" s="52">
        <f t="shared" si="1"/>
        <v>1617</v>
      </c>
      <c r="M34" s="51">
        <v>1870.0000000000002</v>
      </c>
      <c r="N34" s="52">
        <f t="shared" si="2"/>
        <v>1309</v>
      </c>
      <c r="O34" s="51">
        <v>1100</v>
      </c>
      <c r="P34" s="52">
        <f t="shared" si="3"/>
        <v>770</v>
      </c>
      <c r="Q34" s="51">
        <v>3300.0000000000005</v>
      </c>
    </row>
    <row r="35" spans="1:17" ht="31.5" customHeight="1" x14ac:dyDescent="0.3">
      <c r="A35" s="87">
        <v>7</v>
      </c>
      <c r="B35" s="32" t="s">
        <v>210</v>
      </c>
      <c r="C35" s="86">
        <v>8000</v>
      </c>
      <c r="D35" s="86">
        <v>3500</v>
      </c>
      <c r="E35" s="86">
        <v>2600</v>
      </c>
      <c r="F35" s="86">
        <v>1300</v>
      </c>
      <c r="G35" s="87">
        <v>7</v>
      </c>
      <c r="H35" s="32" t="s">
        <v>210</v>
      </c>
      <c r="I35" s="51">
        <v>10266</v>
      </c>
      <c r="J35" s="52">
        <f t="shared" si="5"/>
        <v>7186.2</v>
      </c>
      <c r="K35" s="51">
        <v>4491.375</v>
      </c>
      <c r="L35" s="52">
        <f t="shared" si="1"/>
        <v>3143.9624999999996</v>
      </c>
      <c r="M35" s="51">
        <v>3336.4500000000003</v>
      </c>
      <c r="N35" s="52">
        <f t="shared" si="2"/>
        <v>2335.5149999999999</v>
      </c>
      <c r="O35" s="51">
        <v>1668.2250000000001</v>
      </c>
      <c r="P35" s="52">
        <f t="shared" si="3"/>
        <v>1167.7574999999999</v>
      </c>
      <c r="Q35" s="51">
        <v>10266</v>
      </c>
    </row>
    <row r="36" spans="1:17" ht="56.25" hidden="1" customHeight="1" x14ac:dyDescent="0.3">
      <c r="A36" s="263" t="s">
        <v>706</v>
      </c>
      <c r="B36" s="263"/>
      <c r="C36" s="263"/>
      <c r="D36" s="263"/>
      <c r="E36" s="263"/>
      <c r="F36" s="263"/>
      <c r="G36" s="88"/>
      <c r="H36" s="48" t="s">
        <v>211</v>
      </c>
      <c r="I36" s="51"/>
      <c r="J36" s="52">
        <f t="shared" si="5"/>
        <v>0</v>
      </c>
      <c r="K36" s="51"/>
      <c r="L36" s="52">
        <f t="shared" si="1"/>
        <v>0</v>
      </c>
      <c r="M36" s="51"/>
      <c r="N36" s="52">
        <f t="shared" si="2"/>
        <v>0</v>
      </c>
      <c r="O36" s="51"/>
      <c r="P36" s="52">
        <f t="shared" si="3"/>
        <v>0</v>
      </c>
      <c r="Q36" s="51"/>
    </row>
    <row r="37" spans="1:17" ht="63" customHeight="1" x14ac:dyDescent="0.3">
      <c r="A37" s="87"/>
      <c r="B37" s="32" t="s">
        <v>707</v>
      </c>
      <c r="C37" s="86">
        <v>2000</v>
      </c>
      <c r="D37" s="86">
        <v>1200</v>
      </c>
      <c r="E37" s="86">
        <v>600</v>
      </c>
      <c r="F37" s="86"/>
      <c r="G37" s="87">
        <v>8</v>
      </c>
      <c r="H37" s="85" t="s">
        <v>212</v>
      </c>
      <c r="I37" s="51">
        <v>2000</v>
      </c>
      <c r="J37" s="52">
        <f t="shared" si="5"/>
        <v>1400</v>
      </c>
      <c r="K37" s="51">
        <v>1200</v>
      </c>
      <c r="L37" s="52">
        <f t="shared" si="1"/>
        <v>840</v>
      </c>
      <c r="M37" s="51">
        <v>600</v>
      </c>
      <c r="N37" s="52">
        <f t="shared" si="2"/>
        <v>420</v>
      </c>
      <c r="O37" s="51"/>
      <c r="P37" s="52"/>
      <c r="Q37" s="51">
        <v>2000</v>
      </c>
    </row>
    <row r="38" spans="1:17" s="37" customFormat="1" ht="35.25" customHeight="1" x14ac:dyDescent="0.25">
      <c r="A38" s="28" t="s">
        <v>18</v>
      </c>
      <c r="B38" s="36" t="s">
        <v>213</v>
      </c>
      <c r="C38" s="54"/>
      <c r="D38" s="54"/>
      <c r="E38" s="54"/>
      <c r="F38" s="54"/>
      <c r="G38" s="28" t="s">
        <v>18</v>
      </c>
      <c r="H38" s="36" t="s">
        <v>213</v>
      </c>
      <c r="I38" s="55"/>
      <c r="J38" s="52"/>
      <c r="K38" s="55"/>
      <c r="L38" s="52">
        <f t="shared" si="1"/>
        <v>0</v>
      </c>
      <c r="M38" s="55"/>
      <c r="N38" s="52"/>
      <c r="O38" s="55"/>
      <c r="P38" s="52"/>
      <c r="Q38" s="55"/>
    </row>
    <row r="39" spans="1:17" ht="57" customHeight="1" x14ac:dyDescent="0.3">
      <c r="A39" s="87">
        <v>1</v>
      </c>
      <c r="B39" s="32" t="s">
        <v>708</v>
      </c>
      <c r="C39" s="86">
        <v>1600</v>
      </c>
      <c r="D39" s="86">
        <v>800</v>
      </c>
      <c r="E39" s="86">
        <v>650</v>
      </c>
      <c r="F39" s="86">
        <v>450</v>
      </c>
      <c r="G39" s="87">
        <v>1</v>
      </c>
      <c r="H39" s="32" t="s">
        <v>214</v>
      </c>
      <c r="I39" s="51">
        <v>1760.0000000000002</v>
      </c>
      <c r="J39" s="52">
        <f>I39*$J$4</f>
        <v>1232</v>
      </c>
      <c r="K39" s="51">
        <v>880.00000000000011</v>
      </c>
      <c r="L39" s="52">
        <f t="shared" si="1"/>
        <v>616</v>
      </c>
      <c r="M39" s="51">
        <v>715.00000000000011</v>
      </c>
      <c r="N39" s="52">
        <f t="shared" si="2"/>
        <v>500.50000000000006</v>
      </c>
      <c r="O39" s="51">
        <v>495.00000000000006</v>
      </c>
      <c r="P39" s="52">
        <f>O39*$P$4</f>
        <v>346.5</v>
      </c>
      <c r="Q39" s="51">
        <v>1760.0000000000002</v>
      </c>
    </row>
    <row r="40" spans="1:17" ht="57" customHeight="1" x14ac:dyDescent="0.3">
      <c r="A40" s="87">
        <v>2</v>
      </c>
      <c r="B40" s="32" t="s">
        <v>709</v>
      </c>
      <c r="C40" s="86">
        <v>2400</v>
      </c>
      <c r="D40" s="86">
        <v>1500</v>
      </c>
      <c r="E40" s="86">
        <v>1100</v>
      </c>
      <c r="F40" s="86">
        <v>600</v>
      </c>
      <c r="G40" s="87">
        <v>2</v>
      </c>
      <c r="H40" s="32" t="s">
        <v>215</v>
      </c>
      <c r="I40" s="51">
        <v>2640</v>
      </c>
      <c r="J40" s="52">
        <f t="shared" ref="J40:J51" si="6">I40*$J$4</f>
        <v>1847.9999999999998</v>
      </c>
      <c r="K40" s="51">
        <v>1650.0000000000002</v>
      </c>
      <c r="L40" s="52">
        <f t="shared" si="1"/>
        <v>1155</v>
      </c>
      <c r="M40" s="51">
        <v>1210</v>
      </c>
      <c r="N40" s="52">
        <f t="shared" si="2"/>
        <v>847</v>
      </c>
      <c r="O40" s="51">
        <v>660</v>
      </c>
      <c r="P40" s="52">
        <f t="shared" ref="P40:P51" si="7">O40*$P$4</f>
        <v>461.99999999999994</v>
      </c>
      <c r="Q40" s="51">
        <v>2640</v>
      </c>
    </row>
    <row r="41" spans="1:17" ht="56.25" customHeight="1" x14ac:dyDescent="0.3">
      <c r="A41" s="87">
        <v>3</v>
      </c>
      <c r="B41" s="32" t="s">
        <v>710</v>
      </c>
      <c r="C41" s="86">
        <v>1700</v>
      </c>
      <c r="D41" s="86">
        <v>1000</v>
      </c>
      <c r="E41" s="86">
        <v>650</v>
      </c>
      <c r="F41" s="86">
        <v>450</v>
      </c>
      <c r="G41" s="87">
        <v>3</v>
      </c>
      <c r="H41" s="32" t="s">
        <v>216</v>
      </c>
      <c r="I41" s="51">
        <v>1870.0000000000002</v>
      </c>
      <c r="J41" s="52">
        <f t="shared" si="6"/>
        <v>1309</v>
      </c>
      <c r="K41" s="51">
        <v>1100</v>
      </c>
      <c r="L41" s="52">
        <f t="shared" si="1"/>
        <v>770</v>
      </c>
      <c r="M41" s="51">
        <v>715.00000000000011</v>
      </c>
      <c r="N41" s="52">
        <f t="shared" si="2"/>
        <v>500.50000000000006</v>
      </c>
      <c r="O41" s="51">
        <v>495.00000000000006</v>
      </c>
      <c r="P41" s="52">
        <f t="shared" si="7"/>
        <v>346.5</v>
      </c>
      <c r="Q41" s="51">
        <v>1870.0000000000002</v>
      </c>
    </row>
    <row r="42" spans="1:17" ht="57.75" customHeight="1" x14ac:dyDescent="0.3">
      <c r="A42" s="87">
        <v>4</v>
      </c>
      <c r="B42" s="32" t="s">
        <v>217</v>
      </c>
      <c r="C42" s="86">
        <v>1700</v>
      </c>
      <c r="D42" s="86">
        <v>1000</v>
      </c>
      <c r="E42" s="86">
        <v>650</v>
      </c>
      <c r="F42" s="86">
        <v>450</v>
      </c>
      <c r="G42" s="87">
        <v>4</v>
      </c>
      <c r="H42" s="32" t="s">
        <v>217</v>
      </c>
      <c r="I42" s="51">
        <v>1870.0000000000002</v>
      </c>
      <c r="J42" s="52">
        <f t="shared" si="6"/>
        <v>1309</v>
      </c>
      <c r="K42" s="51">
        <v>1100</v>
      </c>
      <c r="L42" s="52">
        <f t="shared" si="1"/>
        <v>770</v>
      </c>
      <c r="M42" s="51">
        <v>715.00000000000011</v>
      </c>
      <c r="N42" s="52">
        <f t="shared" si="2"/>
        <v>500.50000000000006</v>
      </c>
      <c r="O42" s="51">
        <v>495.00000000000006</v>
      </c>
      <c r="P42" s="52">
        <f t="shared" si="7"/>
        <v>346.5</v>
      </c>
      <c r="Q42" s="51">
        <v>1870.0000000000002</v>
      </c>
    </row>
    <row r="43" spans="1:17" ht="51.75" customHeight="1" x14ac:dyDescent="0.3">
      <c r="A43" s="87">
        <v>5</v>
      </c>
      <c r="B43" s="32" t="s">
        <v>218</v>
      </c>
      <c r="C43" s="86">
        <v>1700</v>
      </c>
      <c r="D43" s="86">
        <v>1000</v>
      </c>
      <c r="E43" s="86">
        <v>650</v>
      </c>
      <c r="F43" s="86">
        <v>450</v>
      </c>
      <c r="G43" s="87">
        <v>5</v>
      </c>
      <c r="H43" s="32" t="s">
        <v>218</v>
      </c>
      <c r="I43" s="51">
        <v>1870.0000000000002</v>
      </c>
      <c r="J43" s="52">
        <f t="shared" si="6"/>
        <v>1309</v>
      </c>
      <c r="K43" s="51">
        <v>1100</v>
      </c>
      <c r="L43" s="52">
        <f t="shared" si="1"/>
        <v>770</v>
      </c>
      <c r="M43" s="51">
        <v>715.00000000000011</v>
      </c>
      <c r="N43" s="52">
        <f t="shared" si="2"/>
        <v>500.50000000000006</v>
      </c>
      <c r="O43" s="51">
        <v>495.00000000000006</v>
      </c>
      <c r="P43" s="52">
        <f t="shared" si="7"/>
        <v>346.5</v>
      </c>
      <c r="Q43" s="51">
        <v>1870.0000000000002</v>
      </c>
    </row>
    <row r="44" spans="1:17" ht="57.75" customHeight="1" x14ac:dyDescent="0.3">
      <c r="A44" s="87">
        <v>6</v>
      </c>
      <c r="B44" s="32" t="s">
        <v>219</v>
      </c>
      <c r="C44" s="86">
        <v>1700</v>
      </c>
      <c r="D44" s="86">
        <v>1000</v>
      </c>
      <c r="E44" s="86">
        <v>650</v>
      </c>
      <c r="F44" s="86">
        <v>450</v>
      </c>
      <c r="G44" s="87">
        <v>6</v>
      </c>
      <c r="H44" s="32" t="s">
        <v>219</v>
      </c>
      <c r="I44" s="51">
        <v>1870.0000000000002</v>
      </c>
      <c r="J44" s="52">
        <f t="shared" si="6"/>
        <v>1309</v>
      </c>
      <c r="K44" s="51">
        <v>1100</v>
      </c>
      <c r="L44" s="52">
        <f t="shared" si="1"/>
        <v>770</v>
      </c>
      <c r="M44" s="51">
        <v>715.00000000000011</v>
      </c>
      <c r="N44" s="52">
        <f t="shared" si="2"/>
        <v>500.50000000000006</v>
      </c>
      <c r="O44" s="51">
        <v>495.00000000000006</v>
      </c>
      <c r="P44" s="52">
        <f t="shared" si="7"/>
        <v>346.5</v>
      </c>
      <c r="Q44" s="51">
        <v>1870.0000000000002</v>
      </c>
    </row>
    <row r="45" spans="1:17" ht="55.5" customHeight="1" x14ac:dyDescent="0.3">
      <c r="A45" s="87">
        <v>7</v>
      </c>
      <c r="B45" s="32" t="s">
        <v>711</v>
      </c>
      <c r="C45" s="86">
        <v>1700</v>
      </c>
      <c r="D45" s="86">
        <v>1000</v>
      </c>
      <c r="E45" s="86">
        <v>650</v>
      </c>
      <c r="F45" s="86">
        <v>450</v>
      </c>
      <c r="G45" s="87">
        <v>7</v>
      </c>
      <c r="H45" s="32" t="s">
        <v>220</v>
      </c>
      <c r="I45" s="51">
        <v>3805</v>
      </c>
      <c r="J45" s="52">
        <f t="shared" si="6"/>
        <v>2663.5</v>
      </c>
      <c r="K45" s="51">
        <v>2238.1010000000001</v>
      </c>
      <c r="L45" s="52">
        <f t="shared" si="1"/>
        <v>1566.6706999999999</v>
      </c>
      <c r="M45" s="51">
        <v>1455.0320000000002</v>
      </c>
      <c r="N45" s="52">
        <f t="shared" si="2"/>
        <v>1018.5224000000001</v>
      </c>
      <c r="O45" s="51">
        <v>1007.1835</v>
      </c>
      <c r="P45" s="52">
        <f t="shared" si="7"/>
        <v>705.02844999999991</v>
      </c>
      <c r="Q45" s="51">
        <v>3805</v>
      </c>
    </row>
    <row r="46" spans="1:17" ht="43.5" customHeight="1" x14ac:dyDescent="0.3">
      <c r="A46" s="87">
        <v>8</v>
      </c>
      <c r="B46" s="32" t="s">
        <v>221</v>
      </c>
      <c r="C46" s="86">
        <v>1500</v>
      </c>
      <c r="D46" s="86">
        <v>1000</v>
      </c>
      <c r="E46" s="86">
        <v>650</v>
      </c>
      <c r="F46" s="86">
        <v>450</v>
      </c>
      <c r="G46" s="87">
        <v>8</v>
      </c>
      <c r="H46" s="32" t="s">
        <v>221</v>
      </c>
      <c r="I46" s="51">
        <v>1650.0000000000002</v>
      </c>
      <c r="J46" s="52">
        <f t="shared" si="6"/>
        <v>1155</v>
      </c>
      <c r="K46" s="51">
        <v>1100</v>
      </c>
      <c r="L46" s="52">
        <f t="shared" si="1"/>
        <v>770</v>
      </c>
      <c r="M46" s="51">
        <v>715.00000000000011</v>
      </c>
      <c r="N46" s="52">
        <f t="shared" si="2"/>
        <v>500.50000000000006</v>
      </c>
      <c r="O46" s="51">
        <v>495.00000000000006</v>
      </c>
      <c r="P46" s="52">
        <f t="shared" si="7"/>
        <v>346.5</v>
      </c>
      <c r="Q46" s="51">
        <v>1650.0000000000002</v>
      </c>
    </row>
    <row r="47" spans="1:17" ht="69" customHeight="1" x14ac:dyDescent="0.3">
      <c r="A47" s="87">
        <v>9</v>
      </c>
      <c r="B47" s="32" t="s">
        <v>712</v>
      </c>
      <c r="C47" s="86">
        <v>1000</v>
      </c>
      <c r="D47" s="86">
        <v>650</v>
      </c>
      <c r="E47" s="86">
        <v>450</v>
      </c>
      <c r="F47" s="86"/>
      <c r="G47" s="87">
        <v>9</v>
      </c>
      <c r="H47" s="32" t="s">
        <v>222</v>
      </c>
      <c r="I47" s="51">
        <v>1100</v>
      </c>
      <c r="J47" s="52">
        <f t="shared" si="6"/>
        <v>770</v>
      </c>
      <c r="K47" s="51">
        <v>715.00000000000011</v>
      </c>
      <c r="L47" s="52">
        <f t="shared" si="1"/>
        <v>500.50000000000006</v>
      </c>
      <c r="M47" s="51">
        <v>495.00000000000006</v>
      </c>
      <c r="N47" s="52">
        <f t="shared" si="2"/>
        <v>346.5</v>
      </c>
      <c r="O47" s="51"/>
      <c r="P47" s="52"/>
      <c r="Q47" s="51">
        <v>1100</v>
      </c>
    </row>
    <row r="48" spans="1:17" ht="32.25" customHeight="1" x14ac:dyDescent="0.3">
      <c r="A48" s="87">
        <v>10</v>
      </c>
      <c r="B48" s="32" t="s">
        <v>223</v>
      </c>
      <c r="C48" s="86">
        <v>1000</v>
      </c>
      <c r="D48" s="86">
        <v>1000</v>
      </c>
      <c r="E48" s="86">
        <v>650</v>
      </c>
      <c r="F48" s="86"/>
      <c r="G48" s="87">
        <v>10</v>
      </c>
      <c r="H48" s="32" t="s">
        <v>223</v>
      </c>
      <c r="I48" s="51">
        <v>1100</v>
      </c>
      <c r="J48" s="52">
        <f t="shared" si="6"/>
        <v>770</v>
      </c>
      <c r="K48" s="51">
        <v>1100</v>
      </c>
      <c r="L48" s="52">
        <f t="shared" si="1"/>
        <v>770</v>
      </c>
      <c r="M48" s="51">
        <v>715.00000000000011</v>
      </c>
      <c r="N48" s="52">
        <f t="shared" si="2"/>
        <v>500.50000000000006</v>
      </c>
      <c r="O48" s="53"/>
      <c r="P48" s="52"/>
      <c r="Q48" s="51">
        <v>1100</v>
      </c>
    </row>
    <row r="49" spans="1:17" ht="48" customHeight="1" x14ac:dyDescent="0.3">
      <c r="A49" s="87">
        <v>11</v>
      </c>
      <c r="B49" s="32" t="s">
        <v>713</v>
      </c>
      <c r="C49" s="86">
        <v>1000</v>
      </c>
      <c r="D49" s="86">
        <v>1000</v>
      </c>
      <c r="E49" s="86">
        <v>650</v>
      </c>
      <c r="F49" s="86"/>
      <c r="G49" s="87">
        <v>11</v>
      </c>
      <c r="H49" s="32" t="s">
        <v>224</v>
      </c>
      <c r="I49" s="51">
        <v>1100</v>
      </c>
      <c r="J49" s="52">
        <f t="shared" si="6"/>
        <v>770</v>
      </c>
      <c r="K49" s="51">
        <v>1100</v>
      </c>
      <c r="L49" s="52">
        <f t="shared" si="1"/>
        <v>770</v>
      </c>
      <c r="M49" s="51">
        <v>715.00000000000011</v>
      </c>
      <c r="N49" s="52">
        <f t="shared" si="2"/>
        <v>500.50000000000006</v>
      </c>
      <c r="O49" s="53"/>
      <c r="P49" s="52"/>
      <c r="Q49" s="51">
        <v>1100</v>
      </c>
    </row>
    <row r="50" spans="1:17" ht="57.75" customHeight="1" x14ac:dyDescent="0.3">
      <c r="A50" s="87">
        <v>12</v>
      </c>
      <c r="B50" s="32" t="s">
        <v>714</v>
      </c>
      <c r="C50" s="86">
        <v>1000</v>
      </c>
      <c r="D50" s="86">
        <f>C50*60%</f>
        <v>600</v>
      </c>
      <c r="E50" s="86">
        <f>C50*40%</f>
        <v>400</v>
      </c>
      <c r="F50" s="86">
        <f>C50*20%</f>
        <v>200</v>
      </c>
      <c r="G50" s="87">
        <v>12</v>
      </c>
      <c r="H50" s="32" t="s">
        <v>225</v>
      </c>
      <c r="I50" s="51">
        <v>1100</v>
      </c>
      <c r="J50" s="52">
        <f t="shared" si="6"/>
        <v>770</v>
      </c>
      <c r="K50" s="51">
        <v>660</v>
      </c>
      <c r="L50" s="52">
        <f t="shared" si="1"/>
        <v>461.99999999999994</v>
      </c>
      <c r="M50" s="51">
        <v>440.00000000000006</v>
      </c>
      <c r="N50" s="52">
        <f t="shared" si="2"/>
        <v>308</v>
      </c>
      <c r="O50" s="51">
        <v>220</v>
      </c>
      <c r="P50" s="52">
        <f t="shared" si="7"/>
        <v>154</v>
      </c>
      <c r="Q50" s="51">
        <v>1100</v>
      </c>
    </row>
    <row r="51" spans="1:17" ht="66.75" customHeight="1" x14ac:dyDescent="0.3">
      <c r="A51" s="87">
        <v>13</v>
      </c>
      <c r="B51" s="32" t="s">
        <v>715</v>
      </c>
      <c r="C51" s="86">
        <v>800</v>
      </c>
      <c r="D51" s="86">
        <f>C51*60%</f>
        <v>480</v>
      </c>
      <c r="E51" s="86">
        <f>C51*40%</f>
        <v>320</v>
      </c>
      <c r="F51" s="86">
        <f>C51*20%</f>
        <v>160</v>
      </c>
      <c r="G51" s="87">
        <v>13</v>
      </c>
      <c r="H51" s="32" t="s">
        <v>226</v>
      </c>
      <c r="I51" s="51">
        <v>880</v>
      </c>
      <c r="J51" s="52">
        <f t="shared" si="6"/>
        <v>616</v>
      </c>
      <c r="K51" s="51">
        <v>528</v>
      </c>
      <c r="L51" s="52">
        <f t="shared" si="1"/>
        <v>369.59999999999997</v>
      </c>
      <c r="M51" s="51">
        <v>352</v>
      </c>
      <c r="N51" s="52">
        <f t="shared" si="2"/>
        <v>246.39999999999998</v>
      </c>
      <c r="O51" s="51">
        <v>176</v>
      </c>
      <c r="P51" s="52">
        <f t="shared" si="7"/>
        <v>123.19999999999999</v>
      </c>
      <c r="Q51" s="51">
        <v>880</v>
      </c>
    </row>
    <row r="52" spans="1:17" ht="26.25" customHeight="1" x14ac:dyDescent="0.3">
      <c r="A52" s="47" t="s">
        <v>21</v>
      </c>
      <c r="B52" s="38" t="s">
        <v>227</v>
      </c>
      <c r="C52" s="54"/>
      <c r="D52" s="54"/>
      <c r="E52" s="54"/>
      <c r="F52" s="54"/>
      <c r="G52" s="47" t="s">
        <v>21</v>
      </c>
      <c r="H52" s="38" t="s">
        <v>227</v>
      </c>
      <c r="I52" s="53"/>
      <c r="J52" s="52"/>
      <c r="K52" s="53"/>
      <c r="L52" s="52"/>
      <c r="M52" s="53"/>
      <c r="N52" s="52"/>
      <c r="O52" s="51"/>
      <c r="P52" s="52"/>
      <c r="Q52" s="51"/>
    </row>
    <row r="53" spans="1:17" ht="39" customHeight="1" x14ac:dyDescent="0.3">
      <c r="A53" s="87">
        <v>1</v>
      </c>
      <c r="B53" s="85" t="s">
        <v>228</v>
      </c>
      <c r="C53" s="86">
        <v>1700</v>
      </c>
      <c r="D53" s="86">
        <v>1100</v>
      </c>
      <c r="E53" s="86">
        <v>550</v>
      </c>
      <c r="F53" s="86"/>
      <c r="G53" s="87">
        <v>1</v>
      </c>
      <c r="H53" s="85" t="s">
        <v>228</v>
      </c>
      <c r="I53" s="51">
        <v>1870</v>
      </c>
      <c r="J53" s="52">
        <f>I53*$J$4</f>
        <v>1309</v>
      </c>
      <c r="K53" s="53">
        <v>1210</v>
      </c>
      <c r="L53" s="52">
        <f>K53*$L$4</f>
        <v>847</v>
      </c>
      <c r="M53" s="53">
        <v>605</v>
      </c>
      <c r="N53" s="52">
        <f>M53*$N$4</f>
        <v>423.5</v>
      </c>
      <c r="O53" s="51"/>
      <c r="P53" s="52"/>
      <c r="Q53" s="51">
        <v>1870</v>
      </c>
    </row>
    <row r="54" spans="1:17" ht="69.75" customHeight="1" x14ac:dyDescent="0.3">
      <c r="A54" s="266">
        <v>2</v>
      </c>
      <c r="B54" s="264" t="s">
        <v>229</v>
      </c>
      <c r="C54" s="265">
        <v>2000</v>
      </c>
      <c r="D54" s="265">
        <v>1100</v>
      </c>
      <c r="E54" s="265">
        <v>550</v>
      </c>
      <c r="F54" s="265"/>
      <c r="G54" s="266">
        <v>2</v>
      </c>
      <c r="H54" s="264" t="s">
        <v>229</v>
      </c>
      <c r="I54" s="51">
        <v>2200</v>
      </c>
      <c r="J54" s="52">
        <f t="shared" ref="J54:J87" si="8">I54*$J$4</f>
        <v>1540</v>
      </c>
      <c r="K54" s="51">
        <v>1210</v>
      </c>
      <c r="L54" s="52">
        <f t="shared" ref="L54:L87" si="9">K54*$L$4</f>
        <v>847</v>
      </c>
      <c r="M54" s="51">
        <v>605</v>
      </c>
      <c r="N54" s="52">
        <f t="shared" ref="N54:N83" si="10">M54*$N$4</f>
        <v>423.5</v>
      </c>
      <c r="O54" s="51"/>
      <c r="P54" s="52"/>
      <c r="Q54" s="51">
        <v>2200</v>
      </c>
    </row>
    <row r="55" spans="1:17" ht="18.75" hidden="1" customHeight="1" x14ac:dyDescent="0.3">
      <c r="A55" s="266"/>
      <c r="B55" s="264"/>
      <c r="C55" s="265"/>
      <c r="D55" s="265"/>
      <c r="E55" s="265"/>
      <c r="F55" s="265"/>
      <c r="G55" s="266"/>
      <c r="H55" s="264"/>
      <c r="I55" s="51">
        <v>3300.0000000000005</v>
      </c>
      <c r="J55" s="52">
        <f t="shared" si="8"/>
        <v>2310</v>
      </c>
      <c r="K55" s="51">
        <v>1210</v>
      </c>
      <c r="L55" s="52">
        <f t="shared" si="9"/>
        <v>847</v>
      </c>
      <c r="M55" s="51">
        <v>605</v>
      </c>
      <c r="N55" s="52">
        <f t="shared" si="10"/>
        <v>423.5</v>
      </c>
      <c r="O55" s="51"/>
      <c r="P55" s="52">
        <f t="shared" si="3"/>
        <v>0</v>
      </c>
      <c r="Q55" s="51">
        <v>3300.0000000000005</v>
      </c>
    </row>
    <row r="56" spans="1:17" ht="44.25" customHeight="1" x14ac:dyDescent="0.3">
      <c r="A56" s="87">
        <v>3</v>
      </c>
      <c r="B56" s="32" t="s">
        <v>230</v>
      </c>
      <c r="C56" s="86">
        <v>3000</v>
      </c>
      <c r="D56" s="86">
        <v>1800</v>
      </c>
      <c r="E56" s="86">
        <v>1300</v>
      </c>
      <c r="F56" s="86"/>
      <c r="G56" s="87">
        <v>3</v>
      </c>
      <c r="H56" s="32" t="s">
        <v>230</v>
      </c>
      <c r="I56" s="51">
        <v>3300</v>
      </c>
      <c r="J56" s="52">
        <f t="shared" si="8"/>
        <v>2310</v>
      </c>
      <c r="K56" s="53">
        <v>1980</v>
      </c>
      <c r="L56" s="52">
        <f t="shared" si="9"/>
        <v>1386</v>
      </c>
      <c r="M56" s="53">
        <v>1430</v>
      </c>
      <c r="N56" s="52">
        <f t="shared" si="10"/>
        <v>1000.9999999999999</v>
      </c>
      <c r="O56" s="51"/>
      <c r="P56" s="52"/>
      <c r="Q56" s="51">
        <v>3300</v>
      </c>
    </row>
    <row r="57" spans="1:17" ht="34.5" customHeight="1" x14ac:dyDescent="0.3">
      <c r="A57" s="87">
        <v>4</v>
      </c>
      <c r="B57" s="32" t="s">
        <v>231</v>
      </c>
      <c r="C57" s="86">
        <v>2000</v>
      </c>
      <c r="D57" s="86">
        <v>1050</v>
      </c>
      <c r="E57" s="86">
        <v>700</v>
      </c>
      <c r="F57" s="86"/>
      <c r="G57" s="87">
        <v>4</v>
      </c>
      <c r="H57" s="32" t="s">
        <v>231</v>
      </c>
      <c r="I57" s="51">
        <v>2200</v>
      </c>
      <c r="J57" s="52">
        <f t="shared" si="8"/>
        <v>1540</v>
      </c>
      <c r="K57" s="51">
        <v>1155</v>
      </c>
      <c r="L57" s="52">
        <f t="shared" si="9"/>
        <v>808.5</v>
      </c>
      <c r="M57" s="51">
        <v>770</v>
      </c>
      <c r="N57" s="52">
        <f t="shared" si="10"/>
        <v>539</v>
      </c>
      <c r="O57" s="51"/>
      <c r="P57" s="52"/>
      <c r="Q57" s="51">
        <v>2200</v>
      </c>
    </row>
    <row r="58" spans="1:17" ht="61.5" customHeight="1" x14ac:dyDescent="0.3">
      <c r="A58" s="266">
        <v>5</v>
      </c>
      <c r="B58" s="264" t="s">
        <v>232</v>
      </c>
      <c r="C58" s="265">
        <v>2000</v>
      </c>
      <c r="D58" s="265">
        <v>1050</v>
      </c>
      <c r="E58" s="265">
        <v>700</v>
      </c>
      <c r="F58" s="265"/>
      <c r="G58" s="266">
        <v>5</v>
      </c>
      <c r="H58" s="264" t="s">
        <v>232</v>
      </c>
      <c r="I58" s="51">
        <v>2200</v>
      </c>
      <c r="J58" s="52">
        <f t="shared" si="8"/>
        <v>1540</v>
      </c>
      <c r="K58" s="51">
        <v>1155</v>
      </c>
      <c r="L58" s="52">
        <f t="shared" si="9"/>
        <v>808.5</v>
      </c>
      <c r="M58" s="51">
        <v>770.00000000000011</v>
      </c>
      <c r="N58" s="52">
        <f t="shared" si="10"/>
        <v>539</v>
      </c>
      <c r="O58" s="51"/>
      <c r="P58" s="52"/>
      <c r="Q58" s="51">
        <v>2200</v>
      </c>
    </row>
    <row r="59" spans="1:17" ht="18.75" hidden="1" customHeight="1" x14ac:dyDescent="0.3">
      <c r="A59" s="266"/>
      <c r="B59" s="264"/>
      <c r="C59" s="265"/>
      <c r="D59" s="265"/>
      <c r="E59" s="265"/>
      <c r="F59" s="265"/>
      <c r="G59" s="266"/>
      <c r="H59" s="264"/>
      <c r="I59" s="51"/>
      <c r="J59" s="52">
        <f t="shared" si="8"/>
        <v>0</v>
      </c>
      <c r="K59" s="51">
        <v>1155</v>
      </c>
      <c r="L59" s="52">
        <f t="shared" si="9"/>
        <v>808.5</v>
      </c>
      <c r="M59" s="51">
        <v>770.00000000000011</v>
      </c>
      <c r="N59" s="52">
        <f t="shared" si="10"/>
        <v>539</v>
      </c>
      <c r="O59" s="51"/>
      <c r="P59" s="52"/>
      <c r="Q59" s="51"/>
    </row>
    <row r="60" spans="1:17" ht="34.5" customHeight="1" x14ac:dyDescent="0.3">
      <c r="A60" s="87">
        <v>6</v>
      </c>
      <c r="B60" s="32" t="s">
        <v>233</v>
      </c>
      <c r="C60" s="86">
        <v>2500</v>
      </c>
      <c r="D60" s="86">
        <v>1700</v>
      </c>
      <c r="E60" s="86">
        <v>1000</v>
      </c>
      <c r="F60" s="54"/>
      <c r="G60" s="87">
        <v>6</v>
      </c>
      <c r="H60" s="32" t="s">
        <v>233</v>
      </c>
      <c r="I60" s="51">
        <v>2750</v>
      </c>
      <c r="J60" s="52">
        <f t="shared" si="8"/>
        <v>1924.9999999999998</v>
      </c>
      <c r="K60" s="51">
        <v>1870</v>
      </c>
      <c r="L60" s="52">
        <f t="shared" si="9"/>
        <v>1309</v>
      </c>
      <c r="M60" s="51">
        <v>1100</v>
      </c>
      <c r="N60" s="52">
        <f t="shared" si="10"/>
        <v>770</v>
      </c>
      <c r="O60" s="51"/>
      <c r="P60" s="52"/>
      <c r="Q60" s="51">
        <v>2750</v>
      </c>
    </row>
    <row r="61" spans="1:17" ht="56.25" hidden="1" customHeight="1" x14ac:dyDescent="0.3">
      <c r="A61" s="87">
        <v>7</v>
      </c>
      <c r="B61" s="32" t="s">
        <v>716</v>
      </c>
      <c r="C61" s="86">
        <v>1500</v>
      </c>
      <c r="D61" s="86">
        <v>530</v>
      </c>
      <c r="E61" s="86">
        <v>320</v>
      </c>
      <c r="F61" s="54"/>
      <c r="G61" s="87"/>
      <c r="H61" s="32"/>
      <c r="I61" s="51">
        <v>3052</v>
      </c>
      <c r="J61" s="52">
        <f t="shared" si="8"/>
        <v>2136.4</v>
      </c>
      <c r="K61" s="51"/>
      <c r="L61" s="52">
        <f t="shared" si="9"/>
        <v>0</v>
      </c>
      <c r="M61" s="51"/>
      <c r="N61" s="52">
        <f t="shared" si="10"/>
        <v>0</v>
      </c>
      <c r="O61" s="51"/>
      <c r="P61" s="52"/>
      <c r="Q61" s="51">
        <v>3052</v>
      </c>
    </row>
    <row r="62" spans="1:17" ht="65.25" customHeight="1" x14ac:dyDescent="0.3">
      <c r="A62" s="87">
        <v>8</v>
      </c>
      <c r="B62" s="32" t="s">
        <v>717</v>
      </c>
      <c r="C62" s="86">
        <v>1500</v>
      </c>
      <c r="D62" s="86">
        <v>530</v>
      </c>
      <c r="E62" s="86">
        <v>320</v>
      </c>
      <c r="F62" s="54"/>
      <c r="G62" s="87">
        <v>7</v>
      </c>
      <c r="H62" s="32" t="s">
        <v>234</v>
      </c>
      <c r="I62" s="51">
        <v>1650.0000000000002</v>
      </c>
      <c r="J62" s="52">
        <f t="shared" si="8"/>
        <v>1155</v>
      </c>
      <c r="K62" s="51">
        <v>583</v>
      </c>
      <c r="L62" s="52">
        <f t="shared" si="9"/>
        <v>408.09999999999997</v>
      </c>
      <c r="M62" s="51">
        <v>352</v>
      </c>
      <c r="N62" s="52">
        <f t="shared" si="10"/>
        <v>246.39999999999998</v>
      </c>
      <c r="O62" s="51"/>
      <c r="P62" s="52"/>
      <c r="Q62" s="51">
        <v>1650.0000000000002</v>
      </c>
    </row>
    <row r="63" spans="1:17" ht="75" customHeight="1" x14ac:dyDescent="0.3">
      <c r="A63" s="87">
        <v>9</v>
      </c>
      <c r="B63" s="32" t="s">
        <v>718</v>
      </c>
      <c r="C63" s="86">
        <v>1500</v>
      </c>
      <c r="D63" s="86">
        <v>530</v>
      </c>
      <c r="E63" s="86">
        <v>320</v>
      </c>
      <c r="F63" s="54"/>
      <c r="G63" s="87">
        <v>8</v>
      </c>
      <c r="H63" s="32" t="s">
        <v>235</v>
      </c>
      <c r="I63" s="51">
        <v>3052</v>
      </c>
      <c r="J63" s="52">
        <f t="shared" si="8"/>
        <v>2136.4</v>
      </c>
      <c r="K63" s="51">
        <v>1078.2716</v>
      </c>
      <c r="L63" s="52">
        <f t="shared" si="9"/>
        <v>754.79012</v>
      </c>
      <c r="M63" s="51">
        <v>650.99159999999995</v>
      </c>
      <c r="N63" s="52">
        <f t="shared" si="10"/>
        <v>455.69411999999994</v>
      </c>
      <c r="O63" s="51"/>
      <c r="P63" s="52"/>
      <c r="Q63" s="51">
        <v>3052</v>
      </c>
    </row>
    <row r="64" spans="1:17" ht="44.25" customHeight="1" x14ac:dyDescent="0.3">
      <c r="A64" s="87">
        <v>10</v>
      </c>
      <c r="B64" s="32" t="s">
        <v>236</v>
      </c>
      <c r="C64" s="86">
        <v>1500</v>
      </c>
      <c r="D64" s="86">
        <v>530</v>
      </c>
      <c r="E64" s="86">
        <v>320</v>
      </c>
      <c r="F64" s="54"/>
      <c r="G64" s="87">
        <v>9</v>
      </c>
      <c r="H64" s="32" t="s">
        <v>236</v>
      </c>
      <c r="I64" s="51">
        <v>1650.0000000000002</v>
      </c>
      <c r="J64" s="52">
        <f t="shared" si="8"/>
        <v>1155</v>
      </c>
      <c r="K64" s="51">
        <v>583</v>
      </c>
      <c r="L64" s="52">
        <f t="shared" si="9"/>
        <v>408.09999999999997</v>
      </c>
      <c r="M64" s="51">
        <v>352</v>
      </c>
      <c r="N64" s="52">
        <f t="shared" si="10"/>
        <v>246.39999999999998</v>
      </c>
      <c r="O64" s="51"/>
      <c r="P64" s="52"/>
      <c r="Q64" s="51">
        <v>1650.0000000000002</v>
      </c>
    </row>
    <row r="65" spans="1:17" ht="37.5" x14ac:dyDescent="0.3">
      <c r="A65" s="87">
        <v>11</v>
      </c>
      <c r="B65" s="32" t="s">
        <v>719</v>
      </c>
      <c r="C65" s="86">
        <v>1000</v>
      </c>
      <c r="D65" s="86">
        <v>530</v>
      </c>
      <c r="E65" s="86">
        <v>320</v>
      </c>
      <c r="F65" s="54"/>
      <c r="G65" s="87">
        <v>10</v>
      </c>
      <c r="H65" s="32" t="s">
        <v>237</v>
      </c>
      <c r="I65" s="51">
        <v>1100</v>
      </c>
      <c r="J65" s="52">
        <f t="shared" si="8"/>
        <v>770</v>
      </c>
      <c r="K65" s="51">
        <v>583</v>
      </c>
      <c r="L65" s="52">
        <f t="shared" si="9"/>
        <v>408.09999999999997</v>
      </c>
      <c r="M65" s="51">
        <v>352</v>
      </c>
      <c r="N65" s="52">
        <f t="shared" si="10"/>
        <v>246.39999999999998</v>
      </c>
      <c r="O65" s="51"/>
      <c r="P65" s="52"/>
      <c r="Q65" s="51">
        <v>1100</v>
      </c>
    </row>
    <row r="66" spans="1:17" hidden="1" x14ac:dyDescent="0.3">
      <c r="A66" s="87">
        <v>12</v>
      </c>
      <c r="B66" s="32" t="s">
        <v>720</v>
      </c>
      <c r="C66" s="86">
        <v>1000</v>
      </c>
      <c r="D66" s="86">
        <v>450</v>
      </c>
      <c r="E66" s="86">
        <v>280</v>
      </c>
      <c r="F66" s="57"/>
      <c r="G66" s="87"/>
      <c r="H66" s="32"/>
      <c r="I66" s="51"/>
      <c r="J66" s="52">
        <f t="shared" si="8"/>
        <v>0</v>
      </c>
      <c r="K66" s="51"/>
      <c r="L66" s="52">
        <f t="shared" si="9"/>
        <v>0</v>
      </c>
      <c r="M66" s="51"/>
      <c r="N66" s="52">
        <f t="shared" si="10"/>
        <v>0</v>
      </c>
      <c r="O66" s="51"/>
      <c r="P66" s="52"/>
      <c r="Q66" s="51"/>
    </row>
    <row r="67" spans="1:17" ht="45" customHeight="1" x14ac:dyDescent="0.3">
      <c r="A67" s="87">
        <v>13</v>
      </c>
      <c r="B67" s="32" t="s">
        <v>238</v>
      </c>
      <c r="C67" s="86">
        <v>1500</v>
      </c>
      <c r="D67" s="86">
        <v>1000</v>
      </c>
      <c r="E67" s="86">
        <v>600</v>
      </c>
      <c r="F67" s="57"/>
      <c r="G67" s="87">
        <v>11</v>
      </c>
      <c r="H67" s="32" t="s">
        <v>238</v>
      </c>
      <c r="I67" s="51">
        <v>1650.0000000000002</v>
      </c>
      <c r="J67" s="52">
        <f t="shared" si="8"/>
        <v>1155</v>
      </c>
      <c r="K67" s="51">
        <v>1100</v>
      </c>
      <c r="L67" s="52">
        <f t="shared" si="9"/>
        <v>770</v>
      </c>
      <c r="M67" s="51">
        <v>660</v>
      </c>
      <c r="N67" s="52">
        <f t="shared" si="10"/>
        <v>461.99999999999994</v>
      </c>
      <c r="O67" s="51"/>
      <c r="P67" s="52"/>
      <c r="Q67" s="51">
        <v>1650.0000000000002</v>
      </c>
    </row>
    <row r="68" spans="1:17" ht="54.75" customHeight="1" x14ac:dyDescent="0.3">
      <c r="A68" s="87">
        <v>14</v>
      </c>
      <c r="B68" s="32" t="s">
        <v>721</v>
      </c>
      <c r="C68" s="86">
        <v>1500</v>
      </c>
      <c r="D68" s="86">
        <v>530</v>
      </c>
      <c r="E68" s="86">
        <v>320</v>
      </c>
      <c r="F68" s="57"/>
      <c r="G68" s="87">
        <v>12</v>
      </c>
      <c r="H68" s="32" t="s">
        <v>239</v>
      </c>
      <c r="I68" s="51">
        <v>1650.0000000000002</v>
      </c>
      <c r="J68" s="52">
        <f t="shared" si="8"/>
        <v>1155</v>
      </c>
      <c r="K68" s="51">
        <v>583</v>
      </c>
      <c r="L68" s="52">
        <f t="shared" si="9"/>
        <v>408.09999999999997</v>
      </c>
      <c r="M68" s="51">
        <v>352</v>
      </c>
      <c r="N68" s="52">
        <f t="shared" si="10"/>
        <v>246.39999999999998</v>
      </c>
      <c r="O68" s="51"/>
      <c r="P68" s="52"/>
      <c r="Q68" s="51">
        <v>1650.0000000000002</v>
      </c>
    </row>
    <row r="69" spans="1:17" ht="50.25" customHeight="1" x14ac:dyDescent="0.3">
      <c r="A69" s="87">
        <v>15</v>
      </c>
      <c r="B69" s="32" t="s">
        <v>240</v>
      </c>
      <c r="C69" s="86">
        <v>1000</v>
      </c>
      <c r="D69" s="86">
        <v>530</v>
      </c>
      <c r="E69" s="86">
        <v>320</v>
      </c>
      <c r="F69" s="57"/>
      <c r="G69" s="87">
        <v>13</v>
      </c>
      <c r="H69" s="32" t="s">
        <v>240</v>
      </c>
      <c r="I69" s="51">
        <v>1100</v>
      </c>
      <c r="J69" s="52">
        <f t="shared" si="8"/>
        <v>770</v>
      </c>
      <c r="K69" s="51">
        <v>583</v>
      </c>
      <c r="L69" s="52">
        <f t="shared" si="9"/>
        <v>408.09999999999997</v>
      </c>
      <c r="M69" s="51">
        <v>352</v>
      </c>
      <c r="N69" s="52">
        <f t="shared" si="10"/>
        <v>246.39999999999998</v>
      </c>
      <c r="O69" s="51"/>
      <c r="P69" s="52"/>
      <c r="Q69" s="51">
        <v>1100</v>
      </c>
    </row>
    <row r="70" spans="1:17" ht="50.25" customHeight="1" x14ac:dyDescent="0.3">
      <c r="A70" s="87">
        <v>16</v>
      </c>
      <c r="B70" s="32" t="s">
        <v>241</v>
      </c>
      <c r="C70" s="86">
        <v>4000</v>
      </c>
      <c r="D70" s="86">
        <v>1500</v>
      </c>
      <c r="E70" s="86"/>
      <c r="F70" s="57"/>
      <c r="G70" s="87">
        <v>14</v>
      </c>
      <c r="H70" s="32" t="s">
        <v>241</v>
      </c>
      <c r="I70" s="51">
        <v>4400</v>
      </c>
      <c r="J70" s="52">
        <f t="shared" si="8"/>
        <v>3080</v>
      </c>
      <c r="K70" s="51">
        <v>1650.0000000000002</v>
      </c>
      <c r="L70" s="52">
        <f t="shared" si="9"/>
        <v>1155</v>
      </c>
      <c r="M70" s="51"/>
      <c r="N70" s="52"/>
      <c r="O70" s="51"/>
      <c r="P70" s="52"/>
      <c r="Q70" s="51">
        <v>4400</v>
      </c>
    </row>
    <row r="71" spans="1:17" ht="52.5" customHeight="1" x14ac:dyDescent="0.3">
      <c r="A71" s="87">
        <v>17</v>
      </c>
      <c r="B71" s="32" t="s">
        <v>242</v>
      </c>
      <c r="C71" s="86">
        <v>1000</v>
      </c>
      <c r="D71" s="86">
        <v>500</v>
      </c>
      <c r="E71" s="86"/>
      <c r="F71" s="57"/>
      <c r="G71" s="87">
        <v>15</v>
      </c>
      <c r="H71" s="32" t="s">
        <v>242</v>
      </c>
      <c r="I71" s="51">
        <v>1100</v>
      </c>
      <c r="J71" s="52">
        <f t="shared" si="8"/>
        <v>770</v>
      </c>
      <c r="K71" s="51">
        <v>550</v>
      </c>
      <c r="L71" s="52">
        <f t="shared" si="9"/>
        <v>385</v>
      </c>
      <c r="M71" s="51"/>
      <c r="N71" s="52"/>
      <c r="O71" s="51"/>
      <c r="P71" s="52"/>
      <c r="Q71" s="51">
        <v>1100</v>
      </c>
    </row>
    <row r="72" spans="1:17" ht="55.5" customHeight="1" x14ac:dyDescent="0.3">
      <c r="A72" s="87">
        <v>18</v>
      </c>
      <c r="B72" s="32" t="s">
        <v>243</v>
      </c>
      <c r="C72" s="86">
        <v>1200</v>
      </c>
      <c r="D72" s="86">
        <v>500</v>
      </c>
      <c r="E72" s="86"/>
      <c r="F72" s="57"/>
      <c r="G72" s="87">
        <v>16</v>
      </c>
      <c r="H72" s="32" t="s">
        <v>243</v>
      </c>
      <c r="I72" s="51">
        <v>2020</v>
      </c>
      <c r="J72" s="52">
        <f t="shared" si="8"/>
        <v>1414</v>
      </c>
      <c r="K72" s="51">
        <v>841.73400000000004</v>
      </c>
      <c r="L72" s="52">
        <f t="shared" si="9"/>
        <v>589.21379999999999</v>
      </c>
      <c r="M72" s="51"/>
      <c r="N72" s="52"/>
      <c r="O72" s="51"/>
      <c r="P72" s="52"/>
      <c r="Q72" s="51">
        <v>2020</v>
      </c>
    </row>
    <row r="73" spans="1:17" ht="38.25" customHeight="1" x14ac:dyDescent="0.3">
      <c r="A73" s="87">
        <v>19</v>
      </c>
      <c r="B73" s="32" t="s">
        <v>244</v>
      </c>
      <c r="C73" s="86">
        <v>800</v>
      </c>
      <c r="D73" s="86">
        <v>500</v>
      </c>
      <c r="E73" s="86"/>
      <c r="F73" s="57"/>
      <c r="G73" s="87">
        <v>17</v>
      </c>
      <c r="H73" s="32" t="s">
        <v>244</v>
      </c>
      <c r="I73" s="51">
        <v>880.00000000000011</v>
      </c>
      <c r="J73" s="52">
        <f t="shared" si="8"/>
        <v>616</v>
      </c>
      <c r="K73" s="51">
        <v>550</v>
      </c>
      <c r="L73" s="52">
        <f t="shared" si="9"/>
        <v>385</v>
      </c>
      <c r="M73" s="51"/>
      <c r="N73" s="52"/>
      <c r="O73" s="51"/>
      <c r="P73" s="52"/>
      <c r="Q73" s="51">
        <v>880.00000000000011</v>
      </c>
    </row>
    <row r="74" spans="1:17" ht="78" customHeight="1" x14ac:dyDescent="0.3">
      <c r="A74" s="87">
        <v>20</v>
      </c>
      <c r="B74" s="32" t="s">
        <v>245</v>
      </c>
      <c r="C74" s="86">
        <v>2000</v>
      </c>
      <c r="D74" s="86">
        <v>650</v>
      </c>
      <c r="E74" s="86">
        <v>450</v>
      </c>
      <c r="F74" s="57"/>
      <c r="G74" s="87">
        <v>18</v>
      </c>
      <c r="H74" s="32" t="s">
        <v>245</v>
      </c>
      <c r="I74" s="51">
        <v>4149</v>
      </c>
      <c r="J74" s="52">
        <f t="shared" si="8"/>
        <v>2904.2999999999997</v>
      </c>
      <c r="K74" s="51">
        <v>1348.425</v>
      </c>
      <c r="L74" s="52">
        <f t="shared" si="9"/>
        <v>943.89749999999992</v>
      </c>
      <c r="M74" s="51">
        <v>933.52499999999998</v>
      </c>
      <c r="N74" s="52">
        <f t="shared" si="10"/>
        <v>653.46749999999997</v>
      </c>
      <c r="O74" s="51"/>
      <c r="P74" s="52"/>
      <c r="Q74" s="51">
        <v>4149</v>
      </c>
    </row>
    <row r="75" spans="1:17" ht="60.75" customHeight="1" x14ac:dyDescent="0.3">
      <c r="A75" s="87">
        <v>21</v>
      </c>
      <c r="B75" s="32" t="s">
        <v>246</v>
      </c>
      <c r="C75" s="86">
        <v>2000</v>
      </c>
      <c r="D75" s="86">
        <v>700</v>
      </c>
      <c r="E75" s="86">
        <v>500</v>
      </c>
      <c r="F75" s="35"/>
      <c r="G75" s="87">
        <v>19</v>
      </c>
      <c r="H75" s="32" t="s">
        <v>246</v>
      </c>
      <c r="I75" s="51">
        <v>5489</v>
      </c>
      <c r="J75" s="52">
        <f t="shared" si="8"/>
        <v>3842.2999999999997</v>
      </c>
      <c r="K75" s="51">
        <v>1921.1499999999999</v>
      </c>
      <c r="L75" s="52">
        <f t="shared" si="9"/>
        <v>1344.8049999999998</v>
      </c>
      <c r="M75" s="51">
        <v>1372.25</v>
      </c>
      <c r="N75" s="52">
        <f t="shared" si="10"/>
        <v>960.57499999999993</v>
      </c>
      <c r="O75" s="51"/>
      <c r="P75" s="52"/>
      <c r="Q75" s="51">
        <v>5489</v>
      </c>
    </row>
    <row r="76" spans="1:17" ht="50.25" customHeight="1" x14ac:dyDescent="0.3">
      <c r="A76" s="87">
        <v>22</v>
      </c>
      <c r="B76" s="32" t="s">
        <v>722</v>
      </c>
      <c r="C76" s="86">
        <v>1200</v>
      </c>
      <c r="D76" s="86">
        <v>700</v>
      </c>
      <c r="E76" s="86">
        <v>500</v>
      </c>
      <c r="F76" s="58"/>
      <c r="G76" s="87">
        <v>20</v>
      </c>
      <c r="H76" s="32" t="s">
        <v>247</v>
      </c>
      <c r="I76" s="51">
        <v>2940</v>
      </c>
      <c r="J76" s="52">
        <f t="shared" si="8"/>
        <v>2058</v>
      </c>
      <c r="K76" s="51">
        <v>1714.9019999999998</v>
      </c>
      <c r="L76" s="52">
        <f t="shared" si="9"/>
        <v>1200.4313999999997</v>
      </c>
      <c r="M76" s="51">
        <v>1225.098</v>
      </c>
      <c r="N76" s="52">
        <f t="shared" si="10"/>
        <v>857.56859999999995</v>
      </c>
      <c r="O76" s="51"/>
      <c r="P76" s="52"/>
      <c r="Q76" s="51">
        <v>2940</v>
      </c>
    </row>
    <row r="77" spans="1:17" ht="45.75" customHeight="1" x14ac:dyDescent="0.3">
      <c r="A77" s="87">
        <v>23</v>
      </c>
      <c r="B77" s="32" t="s">
        <v>248</v>
      </c>
      <c r="C77" s="86">
        <v>1000</v>
      </c>
      <c r="D77" s="86">
        <v>700</v>
      </c>
      <c r="E77" s="86">
        <v>500</v>
      </c>
      <c r="F77" s="35"/>
      <c r="G77" s="87">
        <v>21</v>
      </c>
      <c r="H77" s="32" t="s">
        <v>248</v>
      </c>
      <c r="I77" s="51">
        <v>2443</v>
      </c>
      <c r="J77" s="52">
        <f t="shared" si="8"/>
        <v>1710.1</v>
      </c>
      <c r="K77" s="51">
        <v>1710.1</v>
      </c>
      <c r="L77" s="52">
        <f t="shared" si="9"/>
        <v>1197.07</v>
      </c>
      <c r="M77" s="51">
        <v>1221.5</v>
      </c>
      <c r="N77" s="52">
        <f t="shared" si="10"/>
        <v>855.05</v>
      </c>
      <c r="O77" s="51"/>
      <c r="P77" s="52"/>
      <c r="Q77" s="51">
        <v>2443</v>
      </c>
    </row>
    <row r="78" spans="1:17" ht="46.15" customHeight="1" x14ac:dyDescent="0.3">
      <c r="A78" s="87">
        <v>24</v>
      </c>
      <c r="B78" s="32" t="s">
        <v>249</v>
      </c>
      <c r="C78" s="86">
        <v>1000</v>
      </c>
      <c r="D78" s="86">
        <v>700</v>
      </c>
      <c r="E78" s="86">
        <v>500</v>
      </c>
      <c r="F78" s="35"/>
      <c r="G78" s="87">
        <v>22</v>
      </c>
      <c r="H78" s="32" t="s">
        <v>249</v>
      </c>
      <c r="I78" s="51">
        <v>2440</v>
      </c>
      <c r="J78" s="52">
        <f t="shared" si="8"/>
        <v>1708</v>
      </c>
      <c r="K78" s="51">
        <v>1708</v>
      </c>
      <c r="L78" s="52">
        <f t="shared" si="9"/>
        <v>1195.5999999999999</v>
      </c>
      <c r="M78" s="51">
        <v>1220</v>
      </c>
      <c r="N78" s="52">
        <f t="shared" si="10"/>
        <v>854</v>
      </c>
      <c r="O78" s="51"/>
      <c r="P78" s="52"/>
      <c r="Q78" s="51">
        <v>2440</v>
      </c>
    </row>
    <row r="79" spans="1:17" ht="49.5" customHeight="1" x14ac:dyDescent="0.3">
      <c r="A79" s="87">
        <v>25</v>
      </c>
      <c r="B79" s="32" t="s">
        <v>250</v>
      </c>
      <c r="C79" s="86">
        <v>900</v>
      </c>
      <c r="D79" s="86">
        <v>500</v>
      </c>
      <c r="E79" s="86">
        <v>320</v>
      </c>
      <c r="F79" s="35"/>
      <c r="G79" s="87">
        <v>23</v>
      </c>
      <c r="H79" s="32" t="s">
        <v>250</v>
      </c>
      <c r="I79" s="51">
        <v>990.00000000000011</v>
      </c>
      <c r="J79" s="52">
        <f t="shared" si="8"/>
        <v>693</v>
      </c>
      <c r="K79" s="51">
        <v>550</v>
      </c>
      <c r="L79" s="52">
        <f t="shared" si="9"/>
        <v>385</v>
      </c>
      <c r="M79" s="51">
        <v>352</v>
      </c>
      <c r="N79" s="52">
        <f t="shared" si="10"/>
        <v>246.39999999999998</v>
      </c>
      <c r="O79" s="51"/>
      <c r="P79" s="52"/>
      <c r="Q79" s="51">
        <v>990.00000000000011</v>
      </c>
    </row>
    <row r="80" spans="1:17" ht="45" customHeight="1" x14ac:dyDescent="0.3">
      <c r="A80" s="87">
        <v>26</v>
      </c>
      <c r="B80" s="32" t="s">
        <v>251</v>
      </c>
      <c r="C80" s="86">
        <v>900</v>
      </c>
      <c r="D80" s="86">
        <v>500</v>
      </c>
      <c r="E80" s="86">
        <v>320</v>
      </c>
      <c r="F80" s="35"/>
      <c r="G80" s="87">
        <v>24</v>
      </c>
      <c r="H80" s="32" t="s">
        <v>251</v>
      </c>
      <c r="I80" s="51">
        <v>990.00000000000011</v>
      </c>
      <c r="J80" s="52">
        <f t="shared" si="8"/>
        <v>693</v>
      </c>
      <c r="K80" s="51">
        <v>550</v>
      </c>
      <c r="L80" s="52">
        <f t="shared" si="9"/>
        <v>385</v>
      </c>
      <c r="M80" s="51">
        <v>352</v>
      </c>
      <c r="N80" s="52">
        <f t="shared" si="10"/>
        <v>246.39999999999998</v>
      </c>
      <c r="O80" s="51"/>
      <c r="P80" s="52"/>
      <c r="Q80" s="51">
        <v>990.00000000000011</v>
      </c>
    </row>
    <row r="81" spans="1:17" ht="67.5" customHeight="1" x14ac:dyDescent="0.3">
      <c r="A81" s="87">
        <v>27</v>
      </c>
      <c r="B81" s="32" t="s">
        <v>252</v>
      </c>
      <c r="C81" s="86">
        <v>800</v>
      </c>
      <c r="D81" s="86">
        <v>500</v>
      </c>
      <c r="E81" s="86">
        <v>320</v>
      </c>
      <c r="F81" s="57"/>
      <c r="G81" s="87">
        <v>25</v>
      </c>
      <c r="H81" s="32" t="s">
        <v>252</v>
      </c>
      <c r="I81" s="51">
        <v>2021</v>
      </c>
      <c r="J81" s="52">
        <f t="shared" si="8"/>
        <v>1414.6999999999998</v>
      </c>
      <c r="K81" s="51">
        <v>1263.125</v>
      </c>
      <c r="L81" s="52">
        <f t="shared" si="9"/>
        <v>884.1875</v>
      </c>
      <c r="M81" s="51">
        <v>808.40000000000009</v>
      </c>
      <c r="N81" s="52">
        <f t="shared" si="10"/>
        <v>565.88</v>
      </c>
      <c r="O81" s="51"/>
      <c r="P81" s="52"/>
      <c r="Q81" s="51">
        <v>2021</v>
      </c>
    </row>
    <row r="82" spans="1:17" ht="50.25" customHeight="1" x14ac:dyDescent="0.3">
      <c r="A82" s="87">
        <v>28</v>
      </c>
      <c r="B82" s="32" t="s">
        <v>253</v>
      </c>
      <c r="C82" s="86">
        <v>600</v>
      </c>
      <c r="D82" s="86">
        <v>350</v>
      </c>
      <c r="E82" s="86"/>
      <c r="F82" s="57"/>
      <c r="G82" s="87">
        <v>26</v>
      </c>
      <c r="H82" s="32" t="s">
        <v>253</v>
      </c>
      <c r="I82" s="51">
        <v>660</v>
      </c>
      <c r="J82" s="52">
        <f t="shared" si="8"/>
        <v>461.99999999999994</v>
      </c>
      <c r="K82" s="51">
        <v>385.00000000000006</v>
      </c>
      <c r="L82" s="52">
        <f t="shared" si="9"/>
        <v>269.5</v>
      </c>
      <c r="M82" s="51"/>
      <c r="N82" s="52"/>
      <c r="O82" s="51"/>
      <c r="P82" s="52"/>
      <c r="Q82" s="51">
        <v>660</v>
      </c>
    </row>
    <row r="83" spans="1:17" ht="47.25" customHeight="1" x14ac:dyDescent="0.3">
      <c r="A83" s="87"/>
      <c r="B83" s="32" t="s">
        <v>723</v>
      </c>
      <c r="C83" s="86">
        <v>2500</v>
      </c>
      <c r="D83" s="86">
        <v>1500</v>
      </c>
      <c r="E83" s="86">
        <v>800</v>
      </c>
      <c r="F83" s="86"/>
      <c r="G83" s="87">
        <v>27</v>
      </c>
      <c r="H83" s="32" t="s">
        <v>254</v>
      </c>
      <c r="I83" s="51">
        <v>2500</v>
      </c>
      <c r="J83" s="52">
        <f t="shared" si="8"/>
        <v>1750</v>
      </c>
      <c r="K83" s="51">
        <v>1500</v>
      </c>
      <c r="L83" s="52">
        <f t="shared" si="9"/>
        <v>1050</v>
      </c>
      <c r="M83" s="51">
        <v>800</v>
      </c>
      <c r="N83" s="52">
        <f t="shared" si="10"/>
        <v>560</v>
      </c>
      <c r="O83" s="51"/>
      <c r="P83" s="52"/>
      <c r="Q83" s="51">
        <v>2500</v>
      </c>
    </row>
    <row r="84" spans="1:17" ht="65.25" customHeight="1" x14ac:dyDescent="0.3">
      <c r="A84" s="53"/>
      <c r="B84" s="53"/>
      <c r="C84" s="86"/>
      <c r="D84" s="86"/>
      <c r="E84" s="86"/>
      <c r="F84" s="35"/>
      <c r="G84" s="2">
        <v>28</v>
      </c>
      <c r="H84" s="32" t="s">
        <v>255</v>
      </c>
      <c r="I84" s="51">
        <v>2021</v>
      </c>
      <c r="J84" s="52">
        <f t="shared" si="8"/>
        <v>1414.6999999999998</v>
      </c>
      <c r="K84" s="51">
        <v>1263.125</v>
      </c>
      <c r="L84" s="52">
        <f t="shared" si="9"/>
        <v>884.1875</v>
      </c>
      <c r="M84" s="51"/>
      <c r="N84" s="52"/>
      <c r="O84" s="51"/>
      <c r="P84" s="52"/>
      <c r="Q84" s="51">
        <v>2021</v>
      </c>
    </row>
    <row r="85" spans="1:17" ht="67.5" customHeight="1" x14ac:dyDescent="0.3">
      <c r="A85" s="53"/>
      <c r="B85" s="53"/>
      <c r="C85" s="86"/>
      <c r="D85" s="86"/>
      <c r="E85" s="86"/>
      <c r="F85" s="35"/>
      <c r="G85" s="2">
        <v>29</v>
      </c>
      <c r="H85" s="32" t="s">
        <v>256</v>
      </c>
      <c r="I85" s="51">
        <v>2021</v>
      </c>
      <c r="J85" s="52">
        <f t="shared" si="8"/>
        <v>1414.6999999999998</v>
      </c>
      <c r="K85" s="51">
        <v>1263.125</v>
      </c>
      <c r="L85" s="52">
        <f t="shared" si="9"/>
        <v>884.1875</v>
      </c>
      <c r="M85" s="51"/>
      <c r="N85" s="52"/>
      <c r="O85" s="51"/>
      <c r="P85" s="52"/>
      <c r="Q85" s="51">
        <v>2021</v>
      </c>
    </row>
    <row r="86" spans="1:17" ht="60.75" customHeight="1" x14ac:dyDescent="0.3">
      <c r="A86" s="53"/>
      <c r="B86" s="53"/>
      <c r="C86" s="33"/>
      <c r="D86" s="34"/>
      <c r="E86" s="35"/>
      <c r="F86" s="35"/>
      <c r="G86" s="2">
        <v>30</v>
      </c>
      <c r="H86" s="32" t="s">
        <v>257</v>
      </c>
      <c r="I86" s="51">
        <v>2036</v>
      </c>
      <c r="J86" s="52">
        <f t="shared" si="8"/>
        <v>1425.1999999999998</v>
      </c>
      <c r="K86" s="51">
        <v>1272.5</v>
      </c>
      <c r="L86" s="52">
        <f t="shared" si="9"/>
        <v>890.75</v>
      </c>
      <c r="M86" s="51"/>
      <c r="N86" s="52"/>
      <c r="O86" s="51"/>
      <c r="P86" s="52"/>
      <c r="Q86" s="51">
        <v>2036</v>
      </c>
    </row>
    <row r="87" spans="1:17" ht="62.25" customHeight="1" x14ac:dyDescent="0.3">
      <c r="A87" s="53"/>
      <c r="B87" s="53"/>
      <c r="C87" s="33"/>
      <c r="D87" s="34"/>
      <c r="E87" s="35"/>
      <c r="F87" s="35"/>
      <c r="G87" s="2">
        <v>31</v>
      </c>
      <c r="H87" s="32" t="s">
        <v>258</v>
      </c>
      <c r="I87" s="51">
        <v>2036</v>
      </c>
      <c r="J87" s="52">
        <f t="shared" si="8"/>
        <v>1425.1999999999998</v>
      </c>
      <c r="K87" s="51">
        <v>1272.5</v>
      </c>
      <c r="L87" s="52">
        <f t="shared" si="9"/>
        <v>890.75</v>
      </c>
      <c r="M87" s="51"/>
      <c r="N87" s="52"/>
      <c r="O87" s="51"/>
      <c r="P87" s="52"/>
      <c r="Q87" s="51">
        <v>2036</v>
      </c>
    </row>
    <row r="90" spans="1:17" x14ac:dyDescent="0.3">
      <c r="G90" s="31"/>
      <c r="H90" s="31"/>
      <c r="I90" s="31"/>
      <c r="J90" s="31"/>
      <c r="K90" s="31"/>
      <c r="L90" s="31"/>
      <c r="M90" s="31"/>
      <c r="N90" s="31"/>
      <c r="O90" s="31"/>
      <c r="P90" s="31"/>
      <c r="Q90" s="31"/>
    </row>
    <row r="91" spans="1:17" x14ac:dyDescent="0.3">
      <c r="G91" s="31"/>
      <c r="H91" s="31"/>
      <c r="I91" s="31"/>
      <c r="J91" s="31"/>
      <c r="K91" s="31"/>
      <c r="L91" s="31"/>
      <c r="M91" s="31"/>
      <c r="N91" s="31"/>
      <c r="O91" s="31"/>
      <c r="P91" s="31"/>
      <c r="Q91" s="31"/>
    </row>
  </sheetData>
  <mergeCells count="21">
    <mergeCell ref="H58:H59"/>
    <mergeCell ref="F54:F55"/>
    <mergeCell ref="G54:G55"/>
    <mergeCell ref="H54:H55"/>
    <mergeCell ref="A58:A59"/>
    <mergeCell ref="B58:B59"/>
    <mergeCell ref="C58:C59"/>
    <mergeCell ref="D58:D59"/>
    <mergeCell ref="E58:E59"/>
    <mergeCell ref="F58:F59"/>
    <mergeCell ref="G58:G59"/>
    <mergeCell ref="A54:A55"/>
    <mergeCell ref="B54:B55"/>
    <mergeCell ref="C54:C55"/>
    <mergeCell ref="D54:D55"/>
    <mergeCell ref="E54:E55"/>
    <mergeCell ref="A3:G5"/>
    <mergeCell ref="H3:H5"/>
    <mergeCell ref="A36:F36"/>
    <mergeCell ref="J3:N3"/>
    <mergeCell ref="H2:P2"/>
  </mergeCells>
  <pageMargins left="0.28740157500000002" right="0.19055118099999999" top="0.49055118110236201" bottom="0.29055118099999999" header="0.118110236220472" footer="0.118110236220472"/>
  <pageSetup paperSize="9" scale="85" firstPageNumber="24" orientation="portrait" useFirstPageNumber="1" r:id="rId1"/>
  <headerFooter>
    <oddHeader>&amp;C&amp;P</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topLeftCell="O1" zoomScale="90" zoomScaleNormal="90" workbookViewId="0">
      <selection activeCell="W7" sqref="W7"/>
    </sheetView>
  </sheetViews>
  <sheetFormatPr defaultRowHeight="15.75" x14ac:dyDescent="0.25"/>
  <cols>
    <col min="1" max="1" width="8" style="92" hidden="1" customWidth="1"/>
    <col min="2" max="2" width="38.42578125" style="93" hidden="1" customWidth="1"/>
    <col min="3" max="3" width="10.5703125" style="4" hidden="1" customWidth="1"/>
    <col min="4" max="4" width="9" style="4" hidden="1" customWidth="1"/>
    <col min="5" max="5" width="5.28515625" style="4" hidden="1" customWidth="1"/>
    <col min="6" max="6" width="10.28515625" style="4" hidden="1" customWidth="1"/>
    <col min="7" max="7" width="7.7109375" style="93" hidden="1" customWidth="1"/>
    <col min="8" max="8" width="5.5703125" style="93" hidden="1" customWidth="1"/>
    <col min="9" max="9" width="10.140625" style="93" hidden="1" customWidth="1"/>
    <col min="10" max="10" width="14.85546875" style="93" hidden="1" customWidth="1"/>
    <col min="11" max="11" width="9" style="93" hidden="1" customWidth="1"/>
    <col min="12" max="12" width="9.28515625" style="93" hidden="1" customWidth="1"/>
    <col min="13" max="13" width="10" style="93" hidden="1" customWidth="1"/>
    <col min="14" max="14" width="10.42578125" style="93" hidden="1" customWidth="1"/>
    <col min="15" max="15" width="6.140625" style="93" customWidth="1"/>
    <col min="16" max="16" width="53.7109375" style="111" customWidth="1"/>
    <col min="17" max="17" width="12.28515625" style="93" customWidth="1"/>
    <col min="18" max="18" width="13.28515625" style="93" customWidth="1"/>
    <col min="19" max="19" width="16" style="93" customWidth="1"/>
    <col min="20" max="20" width="0" style="93" hidden="1" customWidth="1"/>
    <col min="21" max="252" width="9.140625" style="93"/>
    <col min="253" max="253" width="8" style="93" customWidth="1"/>
    <col min="254" max="254" width="38.42578125" style="93" customWidth="1"/>
    <col min="255" max="259" width="9.140625" style="93"/>
    <col min="260" max="260" width="39.140625" style="93" customWidth="1"/>
    <col min="261" max="508" width="9.140625" style="93"/>
    <col min="509" max="509" width="8" style="93" customWidth="1"/>
    <col min="510" max="510" width="38.42578125" style="93" customWidth="1"/>
    <col min="511" max="515" width="9.140625" style="93"/>
    <col min="516" max="516" width="39.140625" style="93" customWidth="1"/>
    <col min="517" max="764" width="9.140625" style="93"/>
    <col min="765" max="765" width="8" style="93" customWidth="1"/>
    <col min="766" max="766" width="38.42578125" style="93" customWidth="1"/>
    <col min="767" max="771" width="9.140625" style="93"/>
    <col min="772" max="772" width="39.140625" style="93" customWidth="1"/>
    <col min="773" max="1020" width="9.140625" style="93"/>
    <col min="1021" max="1021" width="8" style="93" customWidth="1"/>
    <col min="1022" max="1022" width="38.42578125" style="93" customWidth="1"/>
    <col min="1023" max="1027" width="9.140625" style="93"/>
    <col min="1028" max="1028" width="39.140625" style="93" customWidth="1"/>
    <col min="1029" max="1276" width="9.140625" style="93"/>
    <col min="1277" max="1277" width="8" style="93" customWidth="1"/>
    <col min="1278" max="1278" width="38.42578125" style="93" customWidth="1"/>
    <col min="1279" max="1283" width="9.140625" style="93"/>
    <col min="1284" max="1284" width="39.140625" style="93" customWidth="1"/>
    <col min="1285" max="1532" width="9.140625" style="93"/>
    <col min="1533" max="1533" width="8" style="93" customWidth="1"/>
    <col min="1534" max="1534" width="38.42578125" style="93" customWidth="1"/>
    <col min="1535" max="1539" width="9.140625" style="93"/>
    <col min="1540" max="1540" width="39.140625" style="93" customWidth="1"/>
    <col min="1541" max="1788" width="9.140625" style="93"/>
    <col min="1789" max="1789" width="8" style="93" customWidth="1"/>
    <col min="1790" max="1790" width="38.42578125" style="93" customWidth="1"/>
    <col min="1791" max="1795" width="9.140625" style="93"/>
    <col min="1796" max="1796" width="39.140625" style="93" customWidth="1"/>
    <col min="1797" max="2044" width="9.140625" style="93"/>
    <col min="2045" max="2045" width="8" style="93" customWidth="1"/>
    <col min="2046" max="2046" width="38.42578125" style="93" customWidth="1"/>
    <col min="2047" max="2051" width="9.140625" style="93"/>
    <col min="2052" max="2052" width="39.140625" style="93" customWidth="1"/>
    <col min="2053" max="2300" width="9.140625" style="93"/>
    <col min="2301" max="2301" width="8" style="93" customWidth="1"/>
    <col min="2302" max="2302" width="38.42578125" style="93" customWidth="1"/>
    <col min="2303" max="2307" width="9.140625" style="93"/>
    <col min="2308" max="2308" width="39.140625" style="93" customWidth="1"/>
    <col min="2309" max="2556" width="9.140625" style="93"/>
    <col min="2557" max="2557" width="8" style="93" customWidth="1"/>
    <col min="2558" max="2558" width="38.42578125" style="93" customWidth="1"/>
    <col min="2559" max="2563" width="9.140625" style="93"/>
    <col min="2564" max="2564" width="39.140625" style="93" customWidth="1"/>
    <col min="2565" max="2812" width="9.140625" style="93"/>
    <col min="2813" max="2813" width="8" style="93" customWidth="1"/>
    <col min="2814" max="2814" width="38.42578125" style="93" customWidth="1"/>
    <col min="2815" max="2819" width="9.140625" style="93"/>
    <col min="2820" max="2820" width="39.140625" style="93" customWidth="1"/>
    <col min="2821" max="3068" width="9.140625" style="93"/>
    <col min="3069" max="3069" width="8" style="93" customWidth="1"/>
    <col min="3070" max="3070" width="38.42578125" style="93" customWidth="1"/>
    <col min="3071" max="3075" width="9.140625" style="93"/>
    <col min="3076" max="3076" width="39.140625" style="93" customWidth="1"/>
    <col min="3077" max="3324" width="9.140625" style="93"/>
    <col min="3325" max="3325" width="8" style="93" customWidth="1"/>
    <col min="3326" max="3326" width="38.42578125" style="93" customWidth="1"/>
    <col min="3327" max="3331" width="9.140625" style="93"/>
    <col min="3332" max="3332" width="39.140625" style="93" customWidth="1"/>
    <col min="3333" max="3580" width="9.140625" style="93"/>
    <col min="3581" max="3581" width="8" style="93" customWidth="1"/>
    <col min="3582" max="3582" width="38.42578125" style="93" customWidth="1"/>
    <col min="3583" max="3587" width="9.140625" style="93"/>
    <col min="3588" max="3588" width="39.140625" style="93" customWidth="1"/>
    <col min="3589" max="3836" width="9.140625" style="93"/>
    <col min="3837" max="3837" width="8" style="93" customWidth="1"/>
    <col min="3838" max="3838" width="38.42578125" style="93" customWidth="1"/>
    <col min="3839" max="3843" width="9.140625" style="93"/>
    <col min="3844" max="3844" width="39.140625" style="93" customWidth="1"/>
    <col min="3845" max="4092" width="9.140625" style="93"/>
    <col min="4093" max="4093" width="8" style="93" customWidth="1"/>
    <col min="4094" max="4094" width="38.42578125" style="93" customWidth="1"/>
    <col min="4095" max="4099" width="9.140625" style="93"/>
    <col min="4100" max="4100" width="39.140625" style="93" customWidth="1"/>
    <col min="4101" max="4348" width="9.140625" style="93"/>
    <col min="4349" max="4349" width="8" style="93" customWidth="1"/>
    <col min="4350" max="4350" width="38.42578125" style="93" customWidth="1"/>
    <col min="4351" max="4355" width="9.140625" style="93"/>
    <col min="4356" max="4356" width="39.140625" style="93" customWidth="1"/>
    <col min="4357" max="4604" width="9.140625" style="93"/>
    <col min="4605" max="4605" width="8" style="93" customWidth="1"/>
    <col min="4606" max="4606" width="38.42578125" style="93" customWidth="1"/>
    <col min="4607" max="4611" width="9.140625" style="93"/>
    <col min="4612" max="4612" width="39.140625" style="93" customWidth="1"/>
    <col min="4613" max="4860" width="9.140625" style="93"/>
    <col min="4861" max="4861" width="8" style="93" customWidth="1"/>
    <col min="4862" max="4862" width="38.42578125" style="93" customWidth="1"/>
    <col min="4863" max="4867" width="9.140625" style="93"/>
    <col min="4868" max="4868" width="39.140625" style="93" customWidth="1"/>
    <col min="4869" max="5116" width="9.140625" style="93"/>
    <col min="5117" max="5117" width="8" style="93" customWidth="1"/>
    <col min="5118" max="5118" width="38.42578125" style="93" customWidth="1"/>
    <col min="5119" max="5123" width="9.140625" style="93"/>
    <col min="5124" max="5124" width="39.140625" style="93" customWidth="1"/>
    <col min="5125" max="5372" width="9.140625" style="93"/>
    <col min="5373" max="5373" width="8" style="93" customWidth="1"/>
    <col min="5374" max="5374" width="38.42578125" style="93" customWidth="1"/>
    <col min="5375" max="5379" width="9.140625" style="93"/>
    <col min="5380" max="5380" width="39.140625" style="93" customWidth="1"/>
    <col min="5381" max="5628" width="9.140625" style="93"/>
    <col min="5629" max="5629" width="8" style="93" customWidth="1"/>
    <col min="5630" max="5630" width="38.42578125" style="93" customWidth="1"/>
    <col min="5631" max="5635" width="9.140625" style="93"/>
    <col min="5636" max="5636" width="39.140625" style="93" customWidth="1"/>
    <col min="5637" max="5884" width="9.140625" style="93"/>
    <col min="5885" max="5885" width="8" style="93" customWidth="1"/>
    <col min="5886" max="5886" width="38.42578125" style="93" customWidth="1"/>
    <col min="5887" max="5891" width="9.140625" style="93"/>
    <col min="5892" max="5892" width="39.140625" style="93" customWidth="1"/>
    <col min="5893" max="6140" width="9.140625" style="93"/>
    <col min="6141" max="6141" width="8" style="93" customWidth="1"/>
    <col min="6142" max="6142" width="38.42578125" style="93" customWidth="1"/>
    <col min="6143" max="6147" width="9.140625" style="93"/>
    <col min="6148" max="6148" width="39.140625" style="93" customWidth="1"/>
    <col min="6149" max="6396" width="9.140625" style="93"/>
    <col min="6397" max="6397" width="8" style="93" customWidth="1"/>
    <col min="6398" max="6398" width="38.42578125" style="93" customWidth="1"/>
    <col min="6399" max="6403" width="9.140625" style="93"/>
    <col min="6404" max="6404" width="39.140625" style="93" customWidth="1"/>
    <col min="6405" max="6652" width="9.140625" style="93"/>
    <col min="6653" max="6653" width="8" style="93" customWidth="1"/>
    <col min="6654" max="6654" width="38.42578125" style="93" customWidth="1"/>
    <col min="6655" max="6659" width="9.140625" style="93"/>
    <col min="6660" max="6660" width="39.140625" style="93" customWidth="1"/>
    <col min="6661" max="6908" width="9.140625" style="93"/>
    <col min="6909" max="6909" width="8" style="93" customWidth="1"/>
    <col min="6910" max="6910" width="38.42578125" style="93" customWidth="1"/>
    <col min="6911" max="6915" width="9.140625" style="93"/>
    <col min="6916" max="6916" width="39.140625" style="93" customWidth="1"/>
    <col min="6917" max="7164" width="9.140625" style="93"/>
    <col min="7165" max="7165" width="8" style="93" customWidth="1"/>
    <col min="7166" max="7166" width="38.42578125" style="93" customWidth="1"/>
    <col min="7167" max="7171" width="9.140625" style="93"/>
    <col min="7172" max="7172" width="39.140625" style="93" customWidth="1"/>
    <col min="7173" max="7420" width="9.140625" style="93"/>
    <col min="7421" max="7421" width="8" style="93" customWidth="1"/>
    <col min="7422" max="7422" width="38.42578125" style="93" customWidth="1"/>
    <col min="7423" max="7427" width="9.140625" style="93"/>
    <col min="7428" max="7428" width="39.140625" style="93" customWidth="1"/>
    <col min="7429" max="7676" width="9.140625" style="93"/>
    <col min="7677" max="7677" width="8" style="93" customWidth="1"/>
    <col min="7678" max="7678" width="38.42578125" style="93" customWidth="1"/>
    <col min="7679" max="7683" width="9.140625" style="93"/>
    <col min="7684" max="7684" width="39.140625" style="93" customWidth="1"/>
    <col min="7685" max="7932" width="9.140625" style="93"/>
    <col min="7933" max="7933" width="8" style="93" customWidth="1"/>
    <col min="7934" max="7934" width="38.42578125" style="93" customWidth="1"/>
    <col min="7935" max="7939" width="9.140625" style="93"/>
    <col min="7940" max="7940" width="39.140625" style="93" customWidth="1"/>
    <col min="7941" max="8188" width="9.140625" style="93"/>
    <col min="8189" max="8189" width="8" style="93" customWidth="1"/>
    <col min="8190" max="8190" width="38.42578125" style="93" customWidth="1"/>
    <col min="8191" max="8195" width="9.140625" style="93"/>
    <col min="8196" max="8196" width="39.140625" style="93" customWidth="1"/>
    <col min="8197" max="8444" width="9.140625" style="93"/>
    <col min="8445" max="8445" width="8" style="93" customWidth="1"/>
    <col min="8446" max="8446" width="38.42578125" style="93" customWidth="1"/>
    <col min="8447" max="8451" width="9.140625" style="93"/>
    <col min="8452" max="8452" width="39.140625" style="93" customWidth="1"/>
    <col min="8453" max="8700" width="9.140625" style="93"/>
    <col min="8701" max="8701" width="8" style="93" customWidth="1"/>
    <col min="8702" max="8702" width="38.42578125" style="93" customWidth="1"/>
    <col min="8703" max="8707" width="9.140625" style="93"/>
    <col min="8708" max="8708" width="39.140625" style="93" customWidth="1"/>
    <col min="8709" max="8956" width="9.140625" style="93"/>
    <col min="8957" max="8957" width="8" style="93" customWidth="1"/>
    <col min="8958" max="8958" width="38.42578125" style="93" customWidth="1"/>
    <col min="8959" max="8963" width="9.140625" style="93"/>
    <col min="8964" max="8964" width="39.140625" style="93" customWidth="1"/>
    <col min="8965" max="9212" width="9.140625" style="93"/>
    <col min="9213" max="9213" width="8" style="93" customWidth="1"/>
    <col min="9214" max="9214" width="38.42578125" style="93" customWidth="1"/>
    <col min="9215" max="9219" width="9.140625" style="93"/>
    <col min="9220" max="9220" width="39.140625" style="93" customWidth="1"/>
    <col min="9221" max="9468" width="9.140625" style="93"/>
    <col min="9469" max="9469" width="8" style="93" customWidth="1"/>
    <col min="9470" max="9470" width="38.42578125" style="93" customWidth="1"/>
    <col min="9471" max="9475" width="9.140625" style="93"/>
    <col min="9476" max="9476" width="39.140625" style="93" customWidth="1"/>
    <col min="9477" max="9724" width="9.140625" style="93"/>
    <col min="9725" max="9725" width="8" style="93" customWidth="1"/>
    <col min="9726" max="9726" width="38.42578125" style="93" customWidth="1"/>
    <col min="9727" max="9731" width="9.140625" style="93"/>
    <col min="9732" max="9732" width="39.140625" style="93" customWidth="1"/>
    <col min="9733" max="9980" width="9.140625" style="93"/>
    <col min="9981" max="9981" width="8" style="93" customWidth="1"/>
    <col min="9982" max="9982" width="38.42578125" style="93" customWidth="1"/>
    <col min="9983" max="9987" width="9.140625" style="93"/>
    <col min="9988" max="9988" width="39.140625" style="93" customWidth="1"/>
    <col min="9989" max="10236" width="9.140625" style="93"/>
    <col min="10237" max="10237" width="8" style="93" customWidth="1"/>
    <col min="10238" max="10238" width="38.42578125" style="93" customWidth="1"/>
    <col min="10239" max="10243" width="9.140625" style="93"/>
    <col min="10244" max="10244" width="39.140625" style="93" customWidth="1"/>
    <col min="10245" max="10492" width="9.140625" style="93"/>
    <col min="10493" max="10493" width="8" style="93" customWidth="1"/>
    <col min="10494" max="10494" width="38.42578125" style="93" customWidth="1"/>
    <col min="10495" max="10499" width="9.140625" style="93"/>
    <col min="10500" max="10500" width="39.140625" style="93" customWidth="1"/>
    <col min="10501" max="10748" width="9.140625" style="93"/>
    <col min="10749" max="10749" width="8" style="93" customWidth="1"/>
    <col min="10750" max="10750" width="38.42578125" style="93" customWidth="1"/>
    <col min="10751" max="10755" width="9.140625" style="93"/>
    <col min="10756" max="10756" width="39.140625" style="93" customWidth="1"/>
    <col min="10757" max="11004" width="9.140625" style="93"/>
    <col min="11005" max="11005" width="8" style="93" customWidth="1"/>
    <col min="11006" max="11006" width="38.42578125" style="93" customWidth="1"/>
    <col min="11007" max="11011" width="9.140625" style="93"/>
    <col min="11012" max="11012" width="39.140625" style="93" customWidth="1"/>
    <col min="11013" max="11260" width="9.140625" style="93"/>
    <col min="11261" max="11261" width="8" style="93" customWidth="1"/>
    <col min="11262" max="11262" width="38.42578125" style="93" customWidth="1"/>
    <col min="11263" max="11267" width="9.140625" style="93"/>
    <col min="11268" max="11268" width="39.140625" style="93" customWidth="1"/>
    <col min="11269" max="11516" width="9.140625" style="93"/>
    <col min="11517" max="11517" width="8" style="93" customWidth="1"/>
    <col min="11518" max="11518" width="38.42578125" style="93" customWidth="1"/>
    <col min="11519" max="11523" width="9.140625" style="93"/>
    <col min="11524" max="11524" width="39.140625" style="93" customWidth="1"/>
    <col min="11525" max="11772" width="9.140625" style="93"/>
    <col min="11773" max="11773" width="8" style="93" customWidth="1"/>
    <col min="11774" max="11774" width="38.42578125" style="93" customWidth="1"/>
    <col min="11775" max="11779" width="9.140625" style="93"/>
    <col min="11780" max="11780" width="39.140625" style="93" customWidth="1"/>
    <col min="11781" max="12028" width="9.140625" style="93"/>
    <col min="12029" max="12029" width="8" style="93" customWidth="1"/>
    <col min="12030" max="12030" width="38.42578125" style="93" customWidth="1"/>
    <col min="12031" max="12035" width="9.140625" style="93"/>
    <col min="12036" max="12036" width="39.140625" style="93" customWidth="1"/>
    <col min="12037" max="12284" width="9.140625" style="93"/>
    <col min="12285" max="12285" width="8" style="93" customWidth="1"/>
    <col min="12286" max="12286" width="38.42578125" style="93" customWidth="1"/>
    <col min="12287" max="12291" width="9.140625" style="93"/>
    <col min="12292" max="12292" width="39.140625" style="93" customWidth="1"/>
    <col min="12293" max="12540" width="9.140625" style="93"/>
    <col min="12541" max="12541" width="8" style="93" customWidth="1"/>
    <col min="12542" max="12542" width="38.42578125" style="93" customWidth="1"/>
    <col min="12543" max="12547" width="9.140625" style="93"/>
    <col min="12548" max="12548" width="39.140625" style="93" customWidth="1"/>
    <col min="12549" max="12796" width="9.140625" style="93"/>
    <col min="12797" max="12797" width="8" style="93" customWidth="1"/>
    <col min="12798" max="12798" width="38.42578125" style="93" customWidth="1"/>
    <col min="12799" max="12803" width="9.140625" style="93"/>
    <col min="12804" max="12804" width="39.140625" style="93" customWidth="1"/>
    <col min="12805" max="13052" width="9.140625" style="93"/>
    <col min="13053" max="13053" width="8" style="93" customWidth="1"/>
    <col min="13054" max="13054" width="38.42578125" style="93" customWidth="1"/>
    <col min="13055" max="13059" width="9.140625" style="93"/>
    <col min="13060" max="13060" width="39.140625" style="93" customWidth="1"/>
    <col min="13061" max="13308" width="9.140625" style="93"/>
    <col min="13309" max="13309" width="8" style="93" customWidth="1"/>
    <col min="13310" max="13310" width="38.42578125" style="93" customWidth="1"/>
    <col min="13311" max="13315" width="9.140625" style="93"/>
    <col min="13316" max="13316" width="39.140625" style="93" customWidth="1"/>
    <col min="13317" max="13564" width="9.140625" style="93"/>
    <col min="13565" max="13565" width="8" style="93" customWidth="1"/>
    <col min="13566" max="13566" width="38.42578125" style="93" customWidth="1"/>
    <col min="13567" max="13571" width="9.140625" style="93"/>
    <col min="13572" max="13572" width="39.140625" style="93" customWidth="1"/>
    <col min="13573" max="13820" width="9.140625" style="93"/>
    <col min="13821" max="13821" width="8" style="93" customWidth="1"/>
    <col min="13822" max="13822" width="38.42578125" style="93" customWidth="1"/>
    <col min="13823" max="13827" width="9.140625" style="93"/>
    <col min="13828" max="13828" width="39.140625" style="93" customWidth="1"/>
    <col min="13829" max="14076" width="9.140625" style="93"/>
    <col min="14077" max="14077" width="8" style="93" customWidth="1"/>
    <col min="14078" max="14078" width="38.42578125" style="93" customWidth="1"/>
    <col min="14079" max="14083" width="9.140625" style="93"/>
    <col min="14084" max="14084" width="39.140625" style="93" customWidth="1"/>
    <col min="14085" max="14332" width="9.140625" style="93"/>
    <col min="14333" max="14333" width="8" style="93" customWidth="1"/>
    <col min="14334" max="14334" width="38.42578125" style="93" customWidth="1"/>
    <col min="14335" max="14339" width="9.140625" style="93"/>
    <col min="14340" max="14340" width="39.140625" style="93" customWidth="1"/>
    <col min="14341" max="14588" width="9.140625" style="93"/>
    <col min="14589" max="14589" width="8" style="93" customWidth="1"/>
    <col min="14590" max="14590" width="38.42578125" style="93" customWidth="1"/>
    <col min="14591" max="14595" width="9.140625" style="93"/>
    <col min="14596" max="14596" width="39.140625" style="93" customWidth="1"/>
    <col min="14597" max="14844" width="9.140625" style="93"/>
    <col min="14845" max="14845" width="8" style="93" customWidth="1"/>
    <col min="14846" max="14846" width="38.42578125" style="93" customWidth="1"/>
    <col min="14847" max="14851" width="9.140625" style="93"/>
    <col min="14852" max="14852" width="39.140625" style="93" customWidth="1"/>
    <col min="14853" max="15100" width="9.140625" style="93"/>
    <col min="15101" max="15101" width="8" style="93" customWidth="1"/>
    <col min="15102" max="15102" width="38.42578125" style="93" customWidth="1"/>
    <col min="15103" max="15107" width="9.140625" style="93"/>
    <col min="15108" max="15108" width="39.140625" style="93" customWidth="1"/>
    <col min="15109" max="15356" width="9.140625" style="93"/>
    <col min="15357" max="15357" width="8" style="93" customWidth="1"/>
    <col min="15358" max="15358" width="38.42578125" style="93" customWidth="1"/>
    <col min="15359" max="15363" width="9.140625" style="93"/>
    <col min="15364" max="15364" width="39.140625" style="93" customWidth="1"/>
    <col min="15365" max="15612" width="9.140625" style="93"/>
    <col min="15613" max="15613" width="8" style="93" customWidth="1"/>
    <col min="15614" max="15614" width="38.42578125" style="93" customWidth="1"/>
    <col min="15615" max="15619" width="9.140625" style="93"/>
    <col min="15620" max="15620" width="39.140625" style="93" customWidth="1"/>
    <col min="15621" max="15868" width="9.140625" style="93"/>
    <col min="15869" max="15869" width="8" style="93" customWidth="1"/>
    <col min="15870" max="15870" width="38.42578125" style="93" customWidth="1"/>
    <col min="15871" max="15875" width="9.140625" style="93"/>
    <col min="15876" max="15876" width="39.140625" style="93" customWidth="1"/>
    <col min="15877" max="16124" width="9.140625" style="93"/>
    <col min="16125" max="16125" width="8" style="93" customWidth="1"/>
    <col min="16126" max="16126" width="38.42578125" style="93" customWidth="1"/>
    <col min="16127" max="16131" width="9.140625" style="93"/>
    <col min="16132" max="16132" width="39.140625" style="93" customWidth="1"/>
    <col min="16133" max="16383" width="9.140625" style="93"/>
    <col min="16384" max="16384" width="9.140625" style="93" customWidth="1"/>
  </cols>
  <sheetData>
    <row r="1" spans="1:20" ht="40.9" customHeight="1" x14ac:dyDescent="0.25">
      <c r="O1" s="235" t="s">
        <v>1101</v>
      </c>
      <c r="P1" s="235"/>
      <c r="Q1" s="235"/>
      <c r="R1" s="235"/>
      <c r="S1" s="235"/>
      <c r="T1" s="235"/>
    </row>
    <row r="2" spans="1:20" ht="18.75" x14ac:dyDescent="0.3">
      <c r="B2" s="267" t="s">
        <v>25</v>
      </c>
      <c r="C2" s="267"/>
      <c r="D2" s="267"/>
      <c r="E2" s="267"/>
      <c r="F2" s="267"/>
      <c r="I2" s="96"/>
      <c r="J2" s="96"/>
      <c r="K2" s="96"/>
      <c r="L2" s="96"/>
      <c r="M2" s="96"/>
      <c r="N2" s="96"/>
      <c r="O2" s="201"/>
      <c r="P2" s="271" t="s">
        <v>655</v>
      </c>
      <c r="Q2" s="271"/>
      <c r="R2" s="271"/>
      <c r="S2" s="271"/>
      <c r="T2" s="124"/>
    </row>
    <row r="3" spans="1:20" ht="21" customHeight="1" x14ac:dyDescent="0.25">
      <c r="B3" s="95"/>
      <c r="C3" s="95"/>
      <c r="D3" s="95"/>
      <c r="E3" s="95"/>
      <c r="F3" s="95"/>
      <c r="I3" s="96"/>
      <c r="J3" s="96"/>
      <c r="K3" s="96"/>
      <c r="L3" s="96"/>
      <c r="M3" s="96"/>
      <c r="N3" s="96"/>
      <c r="O3" s="268" t="s">
        <v>0</v>
      </c>
      <c r="P3" s="239" t="s">
        <v>1</v>
      </c>
      <c r="Q3" s="270" t="s">
        <v>946</v>
      </c>
      <c r="R3" s="270"/>
      <c r="S3" s="270"/>
      <c r="T3" s="270" t="s">
        <v>74</v>
      </c>
    </row>
    <row r="4" spans="1:20" s="4" customFormat="1" ht="25.5" customHeight="1" x14ac:dyDescent="0.25">
      <c r="A4" s="98"/>
      <c r="B4" s="98"/>
      <c r="C4" s="89" t="s">
        <v>3</v>
      </c>
      <c r="D4" s="89" t="s">
        <v>4</v>
      </c>
      <c r="E4" s="89" t="s">
        <v>5</v>
      </c>
      <c r="F4" s="89" t="s">
        <v>920</v>
      </c>
      <c r="G4" s="98"/>
      <c r="H4" s="98"/>
      <c r="I4" s="98"/>
      <c r="J4" s="89" t="s">
        <v>3</v>
      </c>
      <c r="K4" s="89" t="s">
        <v>4</v>
      </c>
      <c r="L4" s="89" t="s">
        <v>5</v>
      </c>
      <c r="M4" s="89" t="s">
        <v>920</v>
      </c>
      <c r="N4" s="97"/>
      <c r="O4" s="269"/>
      <c r="P4" s="239"/>
      <c r="Q4" s="89" t="s">
        <v>3</v>
      </c>
      <c r="R4" s="89" t="s">
        <v>4</v>
      </c>
      <c r="S4" s="89" t="s">
        <v>5</v>
      </c>
      <c r="T4" s="270"/>
    </row>
    <row r="5" spans="1:20" s="4" customFormat="1" ht="35.450000000000003" customHeight="1" x14ac:dyDescent="0.25">
      <c r="A5" s="89" t="s">
        <v>7</v>
      </c>
      <c r="B5" s="99" t="s">
        <v>656</v>
      </c>
      <c r="C5" s="100"/>
      <c r="D5" s="89"/>
      <c r="E5" s="89"/>
      <c r="F5" s="89"/>
      <c r="G5" s="89" t="s">
        <v>7</v>
      </c>
      <c r="H5" s="89"/>
      <c r="I5" s="99" t="s">
        <v>656</v>
      </c>
      <c r="J5" s="100"/>
      <c r="K5" s="89"/>
      <c r="L5" s="89"/>
      <c r="M5" s="89"/>
      <c r="N5" s="101"/>
      <c r="O5" s="89" t="s">
        <v>7</v>
      </c>
      <c r="P5" s="99" t="s">
        <v>656</v>
      </c>
      <c r="Q5" s="100"/>
      <c r="R5" s="89"/>
      <c r="S5" s="89"/>
      <c r="T5" s="101"/>
    </row>
    <row r="6" spans="1:20" s="107" customFormat="1" ht="48.75" customHeight="1" x14ac:dyDescent="0.25">
      <c r="A6" s="102">
        <v>1</v>
      </c>
      <c r="B6" s="103" t="s">
        <v>657</v>
      </c>
      <c r="C6" s="104">
        <v>325</v>
      </c>
      <c r="D6" s="104">
        <v>200</v>
      </c>
      <c r="E6" s="104">
        <v>105</v>
      </c>
      <c r="F6" s="104"/>
      <c r="G6" s="102">
        <v>1</v>
      </c>
      <c r="H6" s="102">
        <v>1</v>
      </c>
      <c r="I6" s="103" t="s">
        <v>657</v>
      </c>
      <c r="J6" s="104">
        <f>C6*1.7</f>
        <v>552.5</v>
      </c>
      <c r="K6" s="104">
        <f t="shared" ref="K6:L7" si="0">D6*1.1</f>
        <v>220.00000000000003</v>
      </c>
      <c r="L6" s="104">
        <f t="shared" si="0"/>
        <v>115.50000000000001</v>
      </c>
      <c r="M6" s="104"/>
      <c r="N6" s="105" t="s">
        <v>921</v>
      </c>
      <c r="O6" s="102">
        <v>1</v>
      </c>
      <c r="P6" s="103" t="s">
        <v>657</v>
      </c>
      <c r="Q6" s="104">
        <f>J6*0.7</f>
        <v>386.75</v>
      </c>
      <c r="R6" s="104">
        <f t="shared" ref="R6:S7" si="1">K6*0.7</f>
        <v>154</v>
      </c>
      <c r="S6" s="104">
        <f t="shared" si="1"/>
        <v>80.850000000000009</v>
      </c>
      <c r="T6" s="106"/>
    </row>
    <row r="7" spans="1:20" s="4" customFormat="1" ht="72.75" customHeight="1" x14ac:dyDescent="0.25">
      <c r="A7" s="102">
        <v>2</v>
      </c>
      <c r="B7" s="103" t="s">
        <v>922</v>
      </c>
      <c r="C7" s="104">
        <v>1280</v>
      </c>
      <c r="D7" s="104">
        <v>400</v>
      </c>
      <c r="E7" s="104">
        <v>300</v>
      </c>
      <c r="F7" s="104"/>
      <c r="G7" s="102">
        <v>2</v>
      </c>
      <c r="H7" s="102">
        <v>2</v>
      </c>
      <c r="I7" s="103" t="s">
        <v>658</v>
      </c>
      <c r="J7" s="104">
        <f>C7*1.7</f>
        <v>2176</v>
      </c>
      <c r="K7" s="104">
        <f t="shared" si="0"/>
        <v>440.00000000000006</v>
      </c>
      <c r="L7" s="104">
        <f t="shared" si="0"/>
        <v>330</v>
      </c>
      <c r="M7" s="104"/>
      <c r="N7" s="105" t="s">
        <v>923</v>
      </c>
      <c r="O7" s="102">
        <v>2</v>
      </c>
      <c r="P7" s="103" t="s">
        <v>658</v>
      </c>
      <c r="Q7" s="104">
        <f>J7*0.7</f>
        <v>1523.1999999999998</v>
      </c>
      <c r="R7" s="104">
        <f t="shared" si="1"/>
        <v>308</v>
      </c>
      <c r="S7" s="104">
        <f t="shared" si="1"/>
        <v>230.99999999999997</v>
      </c>
      <c r="T7" s="106"/>
    </row>
    <row r="8" spans="1:20" s="4" customFormat="1" ht="72.75" customHeight="1" x14ac:dyDescent="0.25">
      <c r="A8" s="102">
        <v>3</v>
      </c>
      <c r="B8" s="103" t="s">
        <v>924</v>
      </c>
      <c r="C8" s="104">
        <v>1600</v>
      </c>
      <c r="D8" s="104"/>
      <c r="E8" s="104"/>
      <c r="F8" s="104"/>
      <c r="G8" s="102">
        <v>3</v>
      </c>
      <c r="H8" s="102">
        <v>3</v>
      </c>
      <c r="I8" s="103" t="s">
        <v>659</v>
      </c>
      <c r="J8" s="104">
        <f>C8*2</f>
        <v>3200</v>
      </c>
      <c r="K8" s="104"/>
      <c r="L8" s="104"/>
      <c r="M8" s="104"/>
      <c r="N8" s="105" t="s">
        <v>923</v>
      </c>
      <c r="O8" s="102">
        <v>3</v>
      </c>
      <c r="P8" s="103" t="s">
        <v>659</v>
      </c>
      <c r="Q8" s="104">
        <f t="shared" ref="Q8:S40" si="2">J8*0.7</f>
        <v>2240</v>
      </c>
      <c r="R8" s="104"/>
      <c r="S8" s="104"/>
      <c r="T8" s="101"/>
    </row>
    <row r="9" spans="1:20" s="4" customFormat="1" ht="75.75" customHeight="1" x14ac:dyDescent="0.25">
      <c r="A9" s="102">
        <v>4</v>
      </c>
      <c r="B9" s="103" t="s">
        <v>925</v>
      </c>
      <c r="C9" s="104">
        <v>2200</v>
      </c>
      <c r="D9" s="104"/>
      <c r="E9" s="104"/>
      <c r="F9" s="104"/>
      <c r="G9" s="102">
        <v>4</v>
      </c>
      <c r="H9" s="102">
        <v>4</v>
      </c>
      <c r="I9" s="103" t="s">
        <v>660</v>
      </c>
      <c r="J9" s="104">
        <f>C9*2</f>
        <v>4400</v>
      </c>
      <c r="K9" s="104"/>
      <c r="L9" s="104"/>
      <c r="M9" s="104"/>
      <c r="N9" s="105" t="s">
        <v>923</v>
      </c>
      <c r="O9" s="102">
        <v>4</v>
      </c>
      <c r="P9" s="103" t="s">
        <v>660</v>
      </c>
      <c r="Q9" s="104">
        <f t="shared" si="2"/>
        <v>3080</v>
      </c>
      <c r="R9" s="104"/>
      <c r="S9" s="104"/>
      <c r="T9" s="101"/>
    </row>
    <row r="10" spans="1:20" s="4" customFormat="1" ht="70.5" customHeight="1" x14ac:dyDescent="0.25">
      <c r="A10" s="102">
        <v>5</v>
      </c>
      <c r="B10" s="103" t="s">
        <v>926</v>
      </c>
      <c r="C10" s="104">
        <v>3000</v>
      </c>
      <c r="D10" s="104"/>
      <c r="E10" s="104"/>
      <c r="F10" s="104"/>
      <c r="G10" s="102">
        <v>5</v>
      </c>
      <c r="H10" s="102">
        <v>5</v>
      </c>
      <c r="I10" s="103" t="s">
        <v>661</v>
      </c>
      <c r="J10" s="104">
        <f>C10*2</f>
        <v>6000</v>
      </c>
      <c r="K10" s="104"/>
      <c r="L10" s="104"/>
      <c r="M10" s="104"/>
      <c r="N10" s="105" t="s">
        <v>923</v>
      </c>
      <c r="O10" s="102">
        <v>5</v>
      </c>
      <c r="P10" s="103" t="s">
        <v>661</v>
      </c>
      <c r="Q10" s="104">
        <f t="shared" si="2"/>
        <v>4200</v>
      </c>
      <c r="R10" s="104"/>
      <c r="S10" s="104"/>
      <c r="T10" s="101"/>
    </row>
    <row r="11" spans="1:20" s="4" customFormat="1" ht="79.5" customHeight="1" x14ac:dyDescent="0.25">
      <c r="A11" s="102">
        <v>6</v>
      </c>
      <c r="B11" s="103" t="s">
        <v>927</v>
      </c>
      <c r="C11" s="104">
        <v>2200</v>
      </c>
      <c r="D11" s="104"/>
      <c r="E11" s="104"/>
      <c r="F11" s="104"/>
      <c r="G11" s="102">
        <v>6</v>
      </c>
      <c r="H11" s="102">
        <v>6</v>
      </c>
      <c r="I11" s="103" t="s">
        <v>662</v>
      </c>
      <c r="J11" s="104">
        <f>C11*2</f>
        <v>4400</v>
      </c>
      <c r="K11" s="104"/>
      <c r="L11" s="104"/>
      <c r="M11" s="104"/>
      <c r="N11" s="105" t="s">
        <v>923</v>
      </c>
      <c r="O11" s="102">
        <v>6</v>
      </c>
      <c r="P11" s="103" t="s">
        <v>662</v>
      </c>
      <c r="Q11" s="104">
        <f t="shared" si="2"/>
        <v>3080</v>
      </c>
      <c r="R11" s="104"/>
      <c r="S11" s="104"/>
      <c r="T11" s="101"/>
    </row>
    <row r="12" spans="1:20" s="4" customFormat="1" ht="86.25" customHeight="1" x14ac:dyDescent="0.25">
      <c r="A12" s="102">
        <v>7</v>
      </c>
      <c r="B12" s="103" t="s">
        <v>663</v>
      </c>
      <c r="C12" s="104">
        <v>1500</v>
      </c>
      <c r="D12" s="104">
        <v>550</v>
      </c>
      <c r="E12" s="104">
        <v>350</v>
      </c>
      <c r="F12" s="104">
        <v>255</v>
      </c>
      <c r="G12" s="102">
        <v>7</v>
      </c>
      <c r="H12" s="102">
        <v>7</v>
      </c>
      <c r="I12" s="103" t="s">
        <v>663</v>
      </c>
      <c r="J12" s="104">
        <f>C12*1.7</f>
        <v>2550</v>
      </c>
      <c r="K12" s="104">
        <v>605</v>
      </c>
      <c r="L12" s="104">
        <v>385</v>
      </c>
      <c r="M12" s="104">
        <f>J12*17%</f>
        <v>433.50000000000006</v>
      </c>
      <c r="N12" s="105" t="s">
        <v>928</v>
      </c>
      <c r="O12" s="102">
        <v>7</v>
      </c>
      <c r="P12" s="103" t="s">
        <v>929</v>
      </c>
      <c r="Q12" s="104">
        <f t="shared" si="2"/>
        <v>1785</v>
      </c>
      <c r="R12" s="104">
        <f>K12*0.7</f>
        <v>423.5</v>
      </c>
      <c r="S12" s="104">
        <f t="shared" ref="S12:S13" si="3">L12*0.7</f>
        <v>269.5</v>
      </c>
      <c r="T12" s="101"/>
    </row>
    <row r="13" spans="1:20" s="4" customFormat="1" ht="62.25" customHeight="1" x14ac:dyDescent="0.25">
      <c r="A13" s="102">
        <v>8</v>
      </c>
      <c r="B13" s="103" t="s">
        <v>930</v>
      </c>
      <c r="C13" s="104">
        <v>1000</v>
      </c>
      <c r="D13" s="104">
        <v>350</v>
      </c>
      <c r="E13" s="104">
        <v>255</v>
      </c>
      <c r="F13" s="104">
        <v>200</v>
      </c>
      <c r="G13" s="102">
        <v>8</v>
      </c>
      <c r="H13" s="102">
        <v>8</v>
      </c>
      <c r="I13" s="103" t="s">
        <v>664</v>
      </c>
      <c r="J13" s="104">
        <f>C13*1.7</f>
        <v>1700</v>
      </c>
      <c r="K13" s="104">
        <f>J13*35%</f>
        <v>595</v>
      </c>
      <c r="L13" s="104">
        <f>J13*26%</f>
        <v>442</v>
      </c>
      <c r="M13" s="104">
        <f>J13*20%</f>
        <v>340</v>
      </c>
      <c r="N13" s="105" t="s">
        <v>931</v>
      </c>
      <c r="O13" s="102">
        <v>8</v>
      </c>
      <c r="P13" s="103" t="s">
        <v>664</v>
      </c>
      <c r="Q13" s="104">
        <f t="shared" si="2"/>
        <v>1190</v>
      </c>
      <c r="R13" s="104">
        <f t="shared" si="2"/>
        <v>416.5</v>
      </c>
      <c r="S13" s="104">
        <f t="shared" si="3"/>
        <v>309.39999999999998</v>
      </c>
      <c r="T13" s="101"/>
    </row>
    <row r="14" spans="1:20" s="4" customFormat="1" ht="69" customHeight="1" x14ac:dyDescent="0.25">
      <c r="A14" s="102">
        <v>9</v>
      </c>
      <c r="B14" s="103" t="s">
        <v>932</v>
      </c>
      <c r="C14" s="104">
        <v>980</v>
      </c>
      <c r="D14" s="104">
        <v>280</v>
      </c>
      <c r="E14" s="104">
        <v>140</v>
      </c>
      <c r="F14" s="104"/>
      <c r="G14" s="102">
        <v>9</v>
      </c>
      <c r="H14" s="102">
        <v>9</v>
      </c>
      <c r="I14" s="103" t="s">
        <v>665</v>
      </c>
      <c r="J14" s="104">
        <f>C14*1.7</f>
        <v>1666</v>
      </c>
      <c r="K14" s="104">
        <f t="shared" ref="K14:L15" si="4">D14*1.1</f>
        <v>308</v>
      </c>
      <c r="L14" s="104">
        <f t="shared" si="4"/>
        <v>154</v>
      </c>
      <c r="M14" s="104"/>
      <c r="N14" s="105" t="s">
        <v>923</v>
      </c>
      <c r="O14" s="102">
        <v>9</v>
      </c>
      <c r="P14" s="103" t="s">
        <v>665</v>
      </c>
      <c r="Q14" s="104">
        <f t="shared" si="2"/>
        <v>1166.1999999999998</v>
      </c>
      <c r="R14" s="104">
        <f t="shared" si="2"/>
        <v>215.6</v>
      </c>
      <c r="S14" s="104">
        <f t="shared" si="2"/>
        <v>107.8</v>
      </c>
      <c r="T14" s="101"/>
    </row>
    <row r="15" spans="1:20" s="4" customFormat="1" ht="71.25" customHeight="1" x14ac:dyDescent="0.25">
      <c r="A15" s="102">
        <v>10</v>
      </c>
      <c r="B15" s="103" t="s">
        <v>933</v>
      </c>
      <c r="C15" s="104">
        <v>325</v>
      </c>
      <c r="D15" s="104">
        <v>225</v>
      </c>
      <c r="E15" s="104">
        <v>115</v>
      </c>
      <c r="F15" s="104"/>
      <c r="G15" s="102">
        <v>10</v>
      </c>
      <c r="H15" s="102">
        <v>10</v>
      </c>
      <c r="I15" s="103" t="s">
        <v>666</v>
      </c>
      <c r="J15" s="104">
        <f>C15*1.7</f>
        <v>552.5</v>
      </c>
      <c r="K15" s="104">
        <f t="shared" si="4"/>
        <v>247.50000000000003</v>
      </c>
      <c r="L15" s="104">
        <f t="shared" si="4"/>
        <v>126.50000000000001</v>
      </c>
      <c r="M15" s="104"/>
      <c r="N15" s="105" t="s">
        <v>923</v>
      </c>
      <c r="O15" s="102">
        <v>10</v>
      </c>
      <c r="P15" s="103" t="s">
        <v>666</v>
      </c>
      <c r="Q15" s="104">
        <f t="shared" si="2"/>
        <v>386.75</v>
      </c>
      <c r="R15" s="104">
        <v>174</v>
      </c>
      <c r="S15" s="104">
        <f t="shared" si="2"/>
        <v>88.550000000000011</v>
      </c>
      <c r="T15" s="101"/>
    </row>
    <row r="16" spans="1:20" s="4" customFormat="1" ht="30" customHeight="1" x14ac:dyDescent="0.25">
      <c r="A16" s="89" t="s">
        <v>14</v>
      </c>
      <c r="B16" s="99" t="s">
        <v>667</v>
      </c>
      <c r="C16" s="104"/>
      <c r="D16" s="104"/>
      <c r="E16" s="104"/>
      <c r="F16" s="104"/>
      <c r="G16" s="89" t="s">
        <v>14</v>
      </c>
      <c r="H16" s="89" t="s">
        <v>14</v>
      </c>
      <c r="I16" s="99" t="s">
        <v>667</v>
      </c>
      <c r="J16" s="104"/>
      <c r="K16" s="104"/>
      <c r="L16" s="104"/>
      <c r="M16" s="104"/>
      <c r="N16" s="105"/>
      <c r="O16" s="89" t="s">
        <v>14</v>
      </c>
      <c r="P16" s="99" t="s">
        <v>667</v>
      </c>
      <c r="Q16" s="104"/>
      <c r="R16" s="104"/>
      <c r="S16" s="104"/>
      <c r="T16" s="101"/>
    </row>
    <row r="17" spans="1:20" s="4" customFormat="1" ht="78" customHeight="1" x14ac:dyDescent="0.25">
      <c r="A17" s="102">
        <v>1</v>
      </c>
      <c r="B17" s="103" t="s">
        <v>668</v>
      </c>
      <c r="C17" s="104">
        <v>520</v>
      </c>
      <c r="D17" s="104"/>
      <c r="E17" s="104"/>
      <c r="F17" s="104"/>
      <c r="G17" s="102">
        <v>1</v>
      </c>
      <c r="H17" s="102">
        <v>1</v>
      </c>
      <c r="I17" s="103" t="s">
        <v>668</v>
      </c>
      <c r="J17" s="104">
        <f>C17*1.1</f>
        <v>572</v>
      </c>
      <c r="K17" s="104"/>
      <c r="L17" s="104"/>
      <c r="M17" s="104"/>
      <c r="N17" s="105" t="s">
        <v>934</v>
      </c>
      <c r="O17" s="102">
        <v>1</v>
      </c>
      <c r="P17" s="103" t="s">
        <v>668</v>
      </c>
      <c r="Q17" s="104">
        <f t="shared" si="2"/>
        <v>400.4</v>
      </c>
      <c r="R17" s="104"/>
      <c r="S17" s="104"/>
      <c r="T17" s="101"/>
    </row>
    <row r="18" spans="1:20" s="4" customFormat="1" ht="48.75" customHeight="1" x14ac:dyDescent="0.25">
      <c r="A18" s="102">
        <v>2</v>
      </c>
      <c r="B18" s="103" t="s">
        <v>935</v>
      </c>
      <c r="C18" s="104">
        <v>520</v>
      </c>
      <c r="D18" s="104"/>
      <c r="E18" s="104"/>
      <c r="F18" s="104"/>
      <c r="G18" s="102">
        <v>2</v>
      </c>
      <c r="H18" s="102">
        <v>2</v>
      </c>
      <c r="I18" s="103" t="s">
        <v>669</v>
      </c>
      <c r="J18" s="104">
        <f>C18*1.1</f>
        <v>572</v>
      </c>
      <c r="K18" s="104"/>
      <c r="L18" s="104"/>
      <c r="M18" s="104"/>
      <c r="N18" s="105" t="s">
        <v>923</v>
      </c>
      <c r="O18" s="102">
        <v>2</v>
      </c>
      <c r="P18" s="103" t="s">
        <v>669</v>
      </c>
      <c r="Q18" s="104">
        <f t="shared" si="2"/>
        <v>400.4</v>
      </c>
      <c r="R18" s="104"/>
      <c r="S18" s="104"/>
      <c r="T18" s="101"/>
    </row>
    <row r="19" spans="1:20" s="107" customFormat="1" ht="48.75" customHeight="1" x14ac:dyDescent="0.25">
      <c r="A19" s="102">
        <v>3</v>
      </c>
      <c r="B19" s="103" t="s">
        <v>936</v>
      </c>
      <c r="C19" s="104">
        <v>380</v>
      </c>
      <c r="D19" s="104"/>
      <c r="E19" s="104"/>
      <c r="F19" s="104"/>
      <c r="G19" s="102">
        <v>3</v>
      </c>
      <c r="H19" s="102">
        <v>3</v>
      </c>
      <c r="I19" s="103" t="s">
        <v>670</v>
      </c>
      <c r="J19" s="104">
        <f>C19*1.1</f>
        <v>418.00000000000006</v>
      </c>
      <c r="K19" s="104"/>
      <c r="L19" s="104"/>
      <c r="M19" s="104"/>
      <c r="N19" s="105" t="s">
        <v>923</v>
      </c>
      <c r="O19" s="102">
        <v>3</v>
      </c>
      <c r="P19" s="103" t="s">
        <v>670</v>
      </c>
      <c r="Q19" s="104">
        <f t="shared" si="2"/>
        <v>292.60000000000002</v>
      </c>
      <c r="R19" s="104"/>
      <c r="S19" s="104"/>
      <c r="T19" s="106"/>
    </row>
    <row r="20" spans="1:20" ht="30" customHeight="1" x14ac:dyDescent="0.25">
      <c r="A20" s="89" t="s">
        <v>17</v>
      </c>
      <c r="B20" s="99" t="s">
        <v>671</v>
      </c>
      <c r="C20" s="104"/>
      <c r="D20" s="104"/>
      <c r="E20" s="104"/>
      <c r="F20" s="104"/>
      <c r="G20" s="89" t="s">
        <v>17</v>
      </c>
      <c r="H20" s="89" t="s">
        <v>17</v>
      </c>
      <c r="I20" s="99" t="s">
        <v>671</v>
      </c>
      <c r="J20" s="104"/>
      <c r="K20" s="104"/>
      <c r="L20" s="104"/>
      <c r="M20" s="104"/>
      <c r="N20" s="105"/>
      <c r="O20" s="89" t="s">
        <v>17</v>
      </c>
      <c r="P20" s="99" t="s">
        <v>671</v>
      </c>
      <c r="Q20" s="104"/>
      <c r="R20" s="104"/>
      <c r="S20" s="104"/>
      <c r="T20" s="108"/>
    </row>
    <row r="21" spans="1:20" ht="84" customHeight="1" x14ac:dyDescent="0.25">
      <c r="A21" s="102">
        <v>1</v>
      </c>
      <c r="B21" s="103" t="s">
        <v>937</v>
      </c>
      <c r="C21" s="104">
        <v>420</v>
      </c>
      <c r="D21" s="104">
        <v>320</v>
      </c>
      <c r="E21" s="104"/>
      <c r="F21" s="104"/>
      <c r="G21" s="102">
        <v>1</v>
      </c>
      <c r="H21" s="102">
        <v>1</v>
      </c>
      <c r="I21" s="103" t="s">
        <v>672</v>
      </c>
      <c r="J21" s="104">
        <v>462</v>
      </c>
      <c r="K21" s="104">
        <v>352</v>
      </c>
      <c r="L21" s="104"/>
      <c r="M21" s="104"/>
      <c r="N21" s="105" t="s">
        <v>938</v>
      </c>
      <c r="O21" s="102">
        <v>1</v>
      </c>
      <c r="P21" s="103" t="s">
        <v>672</v>
      </c>
      <c r="Q21" s="104">
        <f t="shared" si="2"/>
        <v>323.39999999999998</v>
      </c>
      <c r="R21" s="104">
        <f t="shared" si="2"/>
        <v>246.39999999999998</v>
      </c>
      <c r="S21" s="104"/>
      <c r="T21" s="108"/>
    </row>
    <row r="22" spans="1:20" s="107" customFormat="1" ht="47.25" customHeight="1" x14ac:dyDescent="0.25">
      <c r="A22" s="102">
        <v>2</v>
      </c>
      <c r="B22" s="103" t="s">
        <v>939</v>
      </c>
      <c r="C22" s="104">
        <v>420</v>
      </c>
      <c r="D22" s="104"/>
      <c r="E22" s="104"/>
      <c r="F22" s="104"/>
      <c r="G22" s="102">
        <v>2</v>
      </c>
      <c r="H22" s="102">
        <v>2</v>
      </c>
      <c r="I22" s="103" t="s">
        <v>673</v>
      </c>
      <c r="J22" s="104">
        <f t="shared" ref="J22:J28" si="5">C22*1.1</f>
        <v>462.00000000000006</v>
      </c>
      <c r="K22" s="104"/>
      <c r="L22" s="104"/>
      <c r="M22" s="104"/>
      <c r="N22" s="105" t="s">
        <v>923</v>
      </c>
      <c r="O22" s="102">
        <v>2</v>
      </c>
      <c r="P22" s="103" t="s">
        <v>673</v>
      </c>
      <c r="Q22" s="104">
        <f t="shared" si="2"/>
        <v>323.40000000000003</v>
      </c>
      <c r="R22" s="104"/>
      <c r="S22" s="104"/>
      <c r="T22" s="106"/>
    </row>
    <row r="23" spans="1:20" s="110" customFormat="1" ht="47.25" customHeight="1" x14ac:dyDescent="0.25">
      <c r="A23" s="102">
        <v>3</v>
      </c>
      <c r="B23" s="103" t="s">
        <v>940</v>
      </c>
      <c r="C23" s="104">
        <v>400</v>
      </c>
      <c r="D23" s="104">
        <v>240</v>
      </c>
      <c r="E23" s="104"/>
      <c r="F23" s="104"/>
      <c r="G23" s="102">
        <v>3</v>
      </c>
      <c r="H23" s="102">
        <v>3</v>
      </c>
      <c r="I23" s="103" t="s">
        <v>674</v>
      </c>
      <c r="J23" s="104">
        <f t="shared" si="5"/>
        <v>440.00000000000006</v>
      </c>
      <c r="K23" s="104">
        <f>D23*1.1</f>
        <v>264</v>
      </c>
      <c r="L23" s="104"/>
      <c r="M23" s="104"/>
      <c r="N23" s="105" t="s">
        <v>923</v>
      </c>
      <c r="O23" s="102">
        <v>3</v>
      </c>
      <c r="P23" s="103" t="s">
        <v>674</v>
      </c>
      <c r="Q23" s="104">
        <f t="shared" si="2"/>
        <v>308</v>
      </c>
      <c r="R23" s="104">
        <f t="shared" si="2"/>
        <v>184.79999999999998</v>
      </c>
      <c r="S23" s="104"/>
      <c r="T23" s="109"/>
    </row>
    <row r="24" spans="1:20" ht="47.25" customHeight="1" x14ac:dyDescent="0.25">
      <c r="A24" s="102">
        <v>4</v>
      </c>
      <c r="B24" s="103" t="s">
        <v>941</v>
      </c>
      <c r="C24" s="104">
        <v>320</v>
      </c>
      <c r="D24" s="104">
        <v>220</v>
      </c>
      <c r="E24" s="104"/>
      <c r="F24" s="104"/>
      <c r="G24" s="102">
        <v>4</v>
      </c>
      <c r="H24" s="102">
        <v>4</v>
      </c>
      <c r="I24" s="103" t="s">
        <v>675</v>
      </c>
      <c r="J24" s="104">
        <f t="shared" si="5"/>
        <v>352</v>
      </c>
      <c r="K24" s="104">
        <f>D24*1.1</f>
        <v>242.00000000000003</v>
      </c>
      <c r="L24" s="104"/>
      <c r="M24" s="104"/>
      <c r="N24" s="105" t="s">
        <v>923</v>
      </c>
      <c r="O24" s="102">
        <v>4</v>
      </c>
      <c r="P24" s="103" t="s">
        <v>675</v>
      </c>
      <c r="Q24" s="104">
        <f t="shared" si="2"/>
        <v>246.39999999999998</v>
      </c>
      <c r="R24" s="104">
        <f t="shared" si="2"/>
        <v>169.4</v>
      </c>
      <c r="S24" s="104"/>
      <c r="T24" s="108"/>
    </row>
    <row r="25" spans="1:20" s="107" customFormat="1" ht="43.5" customHeight="1" x14ac:dyDescent="0.25">
      <c r="A25" s="102">
        <v>5</v>
      </c>
      <c r="B25" s="103" t="s">
        <v>676</v>
      </c>
      <c r="C25" s="104">
        <v>350</v>
      </c>
      <c r="D25" s="104">
        <v>225</v>
      </c>
      <c r="E25" s="104"/>
      <c r="F25" s="104"/>
      <c r="G25" s="102">
        <v>5</v>
      </c>
      <c r="H25" s="102">
        <v>5</v>
      </c>
      <c r="I25" s="103" t="s">
        <v>676</v>
      </c>
      <c r="J25" s="104">
        <f t="shared" si="5"/>
        <v>385.00000000000006</v>
      </c>
      <c r="K25" s="104">
        <f>D25*1.1</f>
        <v>247.50000000000003</v>
      </c>
      <c r="L25" s="104"/>
      <c r="M25" s="104"/>
      <c r="N25" s="105" t="s">
        <v>942</v>
      </c>
      <c r="O25" s="102">
        <v>5</v>
      </c>
      <c r="P25" s="103" t="s">
        <v>676</v>
      </c>
      <c r="Q25" s="104">
        <f t="shared" si="2"/>
        <v>269.5</v>
      </c>
      <c r="R25" s="104">
        <f t="shared" si="2"/>
        <v>173.25</v>
      </c>
      <c r="S25" s="104"/>
      <c r="T25" s="106"/>
    </row>
    <row r="26" spans="1:20" ht="52.5" customHeight="1" x14ac:dyDescent="0.25">
      <c r="A26" s="102">
        <v>6</v>
      </c>
      <c r="B26" s="103" t="s">
        <v>677</v>
      </c>
      <c r="C26" s="104">
        <v>525</v>
      </c>
      <c r="D26" s="104"/>
      <c r="E26" s="104"/>
      <c r="F26" s="104"/>
      <c r="G26" s="102">
        <v>6</v>
      </c>
      <c r="H26" s="102">
        <v>6</v>
      </c>
      <c r="I26" s="103" t="s">
        <v>677</v>
      </c>
      <c r="J26" s="104">
        <f t="shared" si="5"/>
        <v>577.5</v>
      </c>
      <c r="K26" s="104"/>
      <c r="L26" s="104"/>
      <c r="M26" s="104"/>
      <c r="N26" s="105" t="s">
        <v>942</v>
      </c>
      <c r="O26" s="102">
        <v>6</v>
      </c>
      <c r="P26" s="103" t="s">
        <v>677</v>
      </c>
      <c r="Q26" s="104">
        <f t="shared" si="2"/>
        <v>404.25</v>
      </c>
      <c r="R26" s="104"/>
      <c r="S26" s="104"/>
      <c r="T26" s="108"/>
    </row>
    <row r="27" spans="1:20" ht="30" customHeight="1" x14ac:dyDescent="0.25">
      <c r="A27" s="89" t="s">
        <v>18</v>
      </c>
      <c r="B27" s="99" t="s">
        <v>678</v>
      </c>
      <c r="C27" s="104"/>
      <c r="D27" s="104"/>
      <c r="E27" s="104"/>
      <c r="F27" s="104"/>
      <c r="G27" s="89" t="s">
        <v>18</v>
      </c>
      <c r="H27" s="89" t="s">
        <v>18</v>
      </c>
      <c r="I27" s="99" t="s">
        <v>678</v>
      </c>
      <c r="J27" s="104"/>
      <c r="K27" s="104"/>
      <c r="L27" s="104"/>
      <c r="M27" s="104"/>
      <c r="N27" s="105"/>
      <c r="O27" s="89" t="s">
        <v>18</v>
      </c>
      <c r="P27" s="99" t="s">
        <v>678</v>
      </c>
      <c r="Q27" s="104"/>
      <c r="R27" s="104"/>
      <c r="S27" s="104"/>
      <c r="T27" s="108"/>
    </row>
    <row r="28" spans="1:20" ht="65.25" customHeight="1" x14ac:dyDescent="0.25">
      <c r="A28" s="102">
        <v>1</v>
      </c>
      <c r="B28" s="103" t="s">
        <v>679</v>
      </c>
      <c r="C28" s="104">
        <v>280</v>
      </c>
      <c r="D28" s="104"/>
      <c r="E28" s="104"/>
      <c r="F28" s="104"/>
      <c r="G28" s="102">
        <v>1</v>
      </c>
      <c r="H28" s="102">
        <v>1</v>
      </c>
      <c r="I28" s="103" t="s">
        <v>679</v>
      </c>
      <c r="J28" s="104">
        <f t="shared" si="5"/>
        <v>308</v>
      </c>
      <c r="K28" s="104"/>
      <c r="L28" s="104"/>
      <c r="M28" s="104"/>
      <c r="N28" s="105" t="s">
        <v>942</v>
      </c>
      <c r="O28" s="102">
        <v>1</v>
      </c>
      <c r="P28" s="103" t="s">
        <v>679</v>
      </c>
      <c r="Q28" s="104">
        <f t="shared" si="2"/>
        <v>215.6</v>
      </c>
      <c r="R28" s="104"/>
      <c r="S28" s="104"/>
      <c r="T28" s="108"/>
    </row>
    <row r="29" spans="1:20" ht="30" customHeight="1" x14ac:dyDescent="0.25">
      <c r="A29" s="89" t="s">
        <v>21</v>
      </c>
      <c r="B29" s="99" t="s">
        <v>680</v>
      </c>
      <c r="C29" s="104"/>
      <c r="D29" s="104"/>
      <c r="E29" s="104"/>
      <c r="F29" s="104"/>
      <c r="G29" s="89" t="s">
        <v>21</v>
      </c>
      <c r="H29" s="89" t="s">
        <v>21</v>
      </c>
      <c r="I29" s="99" t="s">
        <v>680</v>
      </c>
      <c r="J29" s="104"/>
      <c r="K29" s="104"/>
      <c r="L29" s="104"/>
      <c r="M29" s="104"/>
      <c r="N29" s="105"/>
      <c r="O29" s="89" t="s">
        <v>21</v>
      </c>
      <c r="P29" s="99" t="s">
        <v>680</v>
      </c>
      <c r="Q29" s="104"/>
      <c r="R29" s="104"/>
      <c r="S29" s="104"/>
      <c r="T29" s="108"/>
    </row>
    <row r="30" spans="1:20" ht="36" customHeight="1" x14ac:dyDescent="0.25">
      <c r="A30" s="102">
        <v>1</v>
      </c>
      <c r="B30" s="103" t="s">
        <v>681</v>
      </c>
      <c r="C30" s="104">
        <v>280</v>
      </c>
      <c r="D30" s="104"/>
      <c r="E30" s="104"/>
      <c r="F30" s="104"/>
      <c r="G30" s="102">
        <v>1</v>
      </c>
      <c r="H30" s="102">
        <v>1</v>
      </c>
      <c r="I30" s="103" t="s">
        <v>681</v>
      </c>
      <c r="J30" s="104">
        <f>C30*1.1</f>
        <v>308</v>
      </c>
      <c r="K30" s="104"/>
      <c r="L30" s="104"/>
      <c r="M30" s="104"/>
      <c r="N30" s="105" t="s">
        <v>942</v>
      </c>
      <c r="O30" s="102">
        <v>1</v>
      </c>
      <c r="P30" s="103" t="s">
        <v>681</v>
      </c>
      <c r="Q30" s="104">
        <f t="shared" si="2"/>
        <v>215.6</v>
      </c>
      <c r="R30" s="104"/>
      <c r="S30" s="104"/>
      <c r="T30" s="108"/>
    </row>
    <row r="31" spans="1:20" ht="42.75" customHeight="1" x14ac:dyDescent="0.25">
      <c r="A31" s="102">
        <v>2</v>
      </c>
      <c r="B31" s="103" t="s">
        <v>682</v>
      </c>
      <c r="C31" s="104">
        <v>420</v>
      </c>
      <c r="D31" s="104"/>
      <c r="E31" s="104"/>
      <c r="F31" s="104"/>
      <c r="G31" s="102">
        <v>2</v>
      </c>
      <c r="H31" s="102">
        <v>2</v>
      </c>
      <c r="I31" s="103" t="s">
        <v>682</v>
      </c>
      <c r="J31" s="104">
        <v>462</v>
      </c>
      <c r="K31" s="104"/>
      <c r="L31" s="104"/>
      <c r="M31" s="104"/>
      <c r="N31" s="105"/>
      <c r="O31" s="102">
        <v>2</v>
      </c>
      <c r="P31" s="103" t="s">
        <v>682</v>
      </c>
      <c r="Q31" s="104">
        <f t="shared" si="2"/>
        <v>323.39999999999998</v>
      </c>
      <c r="R31" s="104"/>
      <c r="S31" s="104"/>
      <c r="T31" s="108"/>
    </row>
    <row r="32" spans="1:20" s="107" customFormat="1" ht="30" customHeight="1" x14ac:dyDescent="0.25">
      <c r="A32" s="89" t="s">
        <v>60</v>
      </c>
      <c r="B32" s="99" t="s">
        <v>683</v>
      </c>
      <c r="C32" s="104"/>
      <c r="D32" s="104"/>
      <c r="E32" s="104"/>
      <c r="F32" s="104"/>
      <c r="G32" s="89" t="s">
        <v>60</v>
      </c>
      <c r="H32" s="89" t="s">
        <v>60</v>
      </c>
      <c r="I32" s="99" t="s">
        <v>683</v>
      </c>
      <c r="J32" s="104"/>
      <c r="K32" s="104"/>
      <c r="L32" s="104"/>
      <c r="M32" s="104"/>
      <c r="N32" s="105"/>
      <c r="O32" s="89" t="s">
        <v>60</v>
      </c>
      <c r="P32" s="99" t="s">
        <v>683</v>
      </c>
      <c r="Q32" s="104"/>
      <c r="R32" s="104"/>
      <c r="S32" s="104"/>
      <c r="T32" s="106"/>
    </row>
    <row r="33" spans="1:20" ht="60" customHeight="1" x14ac:dyDescent="0.25">
      <c r="A33" s="102">
        <v>1</v>
      </c>
      <c r="B33" s="103" t="s">
        <v>943</v>
      </c>
      <c r="C33" s="104">
        <v>190</v>
      </c>
      <c r="D33" s="104">
        <v>130</v>
      </c>
      <c r="E33" s="104">
        <v>70</v>
      </c>
      <c r="F33" s="104"/>
      <c r="G33" s="102">
        <v>1</v>
      </c>
      <c r="H33" s="102">
        <v>1</v>
      </c>
      <c r="I33" s="103" t="s">
        <v>684</v>
      </c>
      <c r="J33" s="104">
        <f>C33*1.1</f>
        <v>209.00000000000003</v>
      </c>
      <c r="K33" s="104">
        <f t="shared" ref="J33:L34" si="6">D33*1.1</f>
        <v>143</v>
      </c>
      <c r="L33" s="104">
        <f t="shared" si="6"/>
        <v>77</v>
      </c>
      <c r="M33" s="104"/>
      <c r="N33" s="105" t="s">
        <v>923</v>
      </c>
      <c r="O33" s="102">
        <v>1</v>
      </c>
      <c r="P33" s="103" t="s">
        <v>684</v>
      </c>
      <c r="Q33" s="104">
        <f t="shared" si="2"/>
        <v>146.30000000000001</v>
      </c>
      <c r="R33" s="104">
        <f t="shared" si="2"/>
        <v>100.1</v>
      </c>
      <c r="S33" s="104">
        <f t="shared" si="2"/>
        <v>53.9</v>
      </c>
      <c r="T33" s="108"/>
    </row>
    <row r="34" spans="1:20" ht="36.75" customHeight="1" x14ac:dyDescent="0.25">
      <c r="A34" s="102">
        <v>2</v>
      </c>
      <c r="B34" s="103" t="s">
        <v>944</v>
      </c>
      <c r="C34" s="104">
        <v>160</v>
      </c>
      <c r="D34" s="104">
        <v>115</v>
      </c>
      <c r="E34" s="104">
        <v>70</v>
      </c>
      <c r="F34" s="104"/>
      <c r="G34" s="102">
        <v>2</v>
      </c>
      <c r="H34" s="102">
        <v>2</v>
      </c>
      <c r="I34" s="103" t="s">
        <v>685</v>
      </c>
      <c r="J34" s="104">
        <f t="shared" si="6"/>
        <v>176</v>
      </c>
      <c r="K34" s="104">
        <f t="shared" si="6"/>
        <v>126.50000000000001</v>
      </c>
      <c r="L34" s="104">
        <f t="shared" si="6"/>
        <v>77</v>
      </c>
      <c r="M34" s="104"/>
      <c r="N34" s="105" t="s">
        <v>923</v>
      </c>
      <c r="O34" s="102">
        <v>2</v>
      </c>
      <c r="P34" s="103" t="s">
        <v>685</v>
      </c>
      <c r="Q34" s="104">
        <f t="shared" si="2"/>
        <v>123.19999999999999</v>
      </c>
      <c r="R34" s="104">
        <f t="shared" si="2"/>
        <v>88.550000000000011</v>
      </c>
      <c r="S34" s="104">
        <f t="shared" si="2"/>
        <v>53.9</v>
      </c>
      <c r="T34" s="108"/>
    </row>
    <row r="35" spans="1:20" s="107" customFormat="1" ht="30" customHeight="1" x14ac:dyDescent="0.25">
      <c r="A35" s="89" t="s">
        <v>73</v>
      </c>
      <c r="B35" s="99" t="s">
        <v>686</v>
      </c>
      <c r="C35" s="104"/>
      <c r="D35" s="104"/>
      <c r="E35" s="104"/>
      <c r="F35" s="104"/>
      <c r="G35" s="89" t="s">
        <v>73</v>
      </c>
      <c r="H35" s="89" t="s">
        <v>73</v>
      </c>
      <c r="I35" s="99" t="s">
        <v>686</v>
      </c>
      <c r="J35" s="104"/>
      <c r="K35" s="104"/>
      <c r="L35" s="104"/>
      <c r="M35" s="104"/>
      <c r="N35" s="105"/>
      <c r="O35" s="89" t="s">
        <v>73</v>
      </c>
      <c r="P35" s="99" t="s">
        <v>686</v>
      </c>
      <c r="Q35" s="104"/>
      <c r="R35" s="104"/>
      <c r="S35" s="104"/>
      <c r="T35" s="106"/>
    </row>
    <row r="36" spans="1:20" s="107" customFormat="1" ht="35.25" customHeight="1" x14ac:dyDescent="0.25">
      <c r="A36" s="102">
        <v>1</v>
      </c>
      <c r="B36" s="103" t="s">
        <v>945</v>
      </c>
      <c r="C36" s="104">
        <v>320</v>
      </c>
      <c r="D36" s="104"/>
      <c r="E36" s="104"/>
      <c r="F36" s="104"/>
      <c r="G36" s="102">
        <v>1</v>
      </c>
      <c r="H36" s="102">
        <v>1</v>
      </c>
      <c r="I36" s="103" t="s">
        <v>687</v>
      </c>
      <c r="J36" s="104">
        <f>C36*1.1</f>
        <v>352</v>
      </c>
      <c r="K36" s="104"/>
      <c r="L36" s="104"/>
      <c r="M36" s="104"/>
      <c r="N36" s="105" t="s">
        <v>923</v>
      </c>
      <c r="O36" s="102">
        <v>1</v>
      </c>
      <c r="P36" s="103" t="s">
        <v>687</v>
      </c>
      <c r="Q36" s="104">
        <f t="shared" si="2"/>
        <v>246.39999999999998</v>
      </c>
      <c r="R36" s="104"/>
      <c r="S36" s="104"/>
      <c r="T36" s="106"/>
    </row>
    <row r="37" spans="1:20" s="107" customFormat="1" ht="34.5" customHeight="1" x14ac:dyDescent="0.25">
      <c r="A37" s="89" t="s">
        <v>259</v>
      </c>
      <c r="B37" s="99" t="s">
        <v>688</v>
      </c>
      <c r="C37" s="104"/>
      <c r="D37" s="104"/>
      <c r="E37" s="104"/>
      <c r="F37" s="104"/>
      <c r="G37" s="89" t="s">
        <v>259</v>
      </c>
      <c r="H37" s="89" t="s">
        <v>259</v>
      </c>
      <c r="I37" s="99" t="s">
        <v>688</v>
      </c>
      <c r="J37" s="104"/>
      <c r="K37" s="104"/>
      <c r="L37" s="104"/>
      <c r="M37" s="104"/>
      <c r="N37" s="105"/>
      <c r="O37" s="89" t="s">
        <v>259</v>
      </c>
      <c r="P37" s="99" t="s">
        <v>688</v>
      </c>
      <c r="Q37" s="104"/>
      <c r="R37" s="104"/>
      <c r="S37" s="104"/>
      <c r="T37" s="106"/>
    </row>
    <row r="38" spans="1:20" s="107" customFormat="1" ht="81" customHeight="1" x14ac:dyDescent="0.25">
      <c r="A38" s="102">
        <v>1</v>
      </c>
      <c r="B38" s="103" t="s">
        <v>689</v>
      </c>
      <c r="C38" s="104">
        <v>420</v>
      </c>
      <c r="D38" s="104">
        <v>280</v>
      </c>
      <c r="E38" s="104">
        <v>200</v>
      </c>
      <c r="F38" s="104"/>
      <c r="G38" s="102">
        <v>1</v>
      </c>
      <c r="H38" s="102">
        <v>1</v>
      </c>
      <c r="I38" s="103" t="s">
        <v>689</v>
      </c>
      <c r="J38" s="104">
        <f>C38*1.1</f>
        <v>462.00000000000006</v>
      </c>
      <c r="K38" s="104">
        <f>D38*1.1</f>
        <v>308</v>
      </c>
      <c r="L38" s="104">
        <f>E38*1.1</f>
        <v>220.00000000000003</v>
      </c>
      <c r="M38" s="104"/>
      <c r="N38" s="105" t="s">
        <v>923</v>
      </c>
      <c r="O38" s="102">
        <v>1</v>
      </c>
      <c r="P38" s="103" t="s">
        <v>689</v>
      </c>
      <c r="Q38" s="104">
        <f t="shared" si="2"/>
        <v>323.40000000000003</v>
      </c>
      <c r="R38" s="104">
        <f t="shared" si="2"/>
        <v>215.6</v>
      </c>
      <c r="S38" s="104">
        <f t="shared" si="2"/>
        <v>154</v>
      </c>
      <c r="T38" s="106"/>
    </row>
    <row r="39" spans="1:20" s="107" customFormat="1" ht="24.75" customHeight="1" x14ac:dyDescent="0.25">
      <c r="A39" s="89" t="s">
        <v>260</v>
      </c>
      <c r="B39" s="99" t="s">
        <v>690</v>
      </c>
      <c r="C39" s="104"/>
      <c r="D39" s="104"/>
      <c r="E39" s="104"/>
      <c r="F39" s="104"/>
      <c r="G39" s="89" t="s">
        <v>260</v>
      </c>
      <c r="H39" s="89" t="s">
        <v>260</v>
      </c>
      <c r="I39" s="99" t="s">
        <v>690</v>
      </c>
      <c r="J39" s="104"/>
      <c r="K39" s="104"/>
      <c r="L39" s="104"/>
      <c r="M39" s="104"/>
      <c r="N39" s="105"/>
      <c r="O39" s="89" t="s">
        <v>260</v>
      </c>
      <c r="P39" s="99" t="s">
        <v>690</v>
      </c>
      <c r="Q39" s="104"/>
      <c r="R39" s="104"/>
      <c r="S39" s="104"/>
      <c r="T39" s="106"/>
    </row>
    <row r="40" spans="1:20" s="107" customFormat="1" ht="37.5" customHeight="1" x14ac:dyDescent="0.25">
      <c r="A40" s="102">
        <v>1</v>
      </c>
      <c r="B40" s="103" t="s">
        <v>691</v>
      </c>
      <c r="C40" s="104">
        <v>250</v>
      </c>
      <c r="D40" s="104"/>
      <c r="E40" s="104"/>
      <c r="F40" s="104"/>
      <c r="G40" s="102">
        <v>1</v>
      </c>
      <c r="H40" s="102">
        <v>1</v>
      </c>
      <c r="I40" s="103" t="s">
        <v>691</v>
      </c>
      <c r="J40" s="104">
        <f>C40*1.1</f>
        <v>275</v>
      </c>
      <c r="K40" s="104"/>
      <c r="L40" s="104"/>
      <c r="M40" s="104"/>
      <c r="N40" s="105" t="s">
        <v>923</v>
      </c>
      <c r="O40" s="102">
        <v>1</v>
      </c>
      <c r="P40" s="103" t="s">
        <v>691</v>
      </c>
      <c r="Q40" s="104">
        <f t="shared" si="2"/>
        <v>192.5</v>
      </c>
      <c r="R40" s="104"/>
      <c r="S40" s="104"/>
      <c r="T40" s="106"/>
    </row>
  </sheetData>
  <mergeCells count="7">
    <mergeCell ref="O1:T1"/>
    <mergeCell ref="B2:F2"/>
    <mergeCell ref="O3:O4"/>
    <mergeCell ref="P3:P4"/>
    <mergeCell ref="Q3:S3"/>
    <mergeCell ref="T3:T4"/>
    <mergeCell ref="P2:S2"/>
  </mergeCells>
  <printOptions horizontalCentered="1"/>
  <pageMargins left="0.28740157500000002" right="0.240551181" top="0.49055118110236201" bottom="0.240551181" header="0.118110236220472" footer="0.118110236220472"/>
  <pageSetup paperSize="9" scale="95" firstPageNumber="29" orientation="portrait" useFirstPageNumber="1" r:id="rId1"/>
  <headerFooter>
    <oddHeader>&amp;C&amp;P</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8"/>
  <sheetViews>
    <sheetView topLeftCell="G1" zoomScaleNormal="100" workbookViewId="0">
      <selection activeCell="T8" sqref="T8"/>
    </sheetView>
  </sheetViews>
  <sheetFormatPr defaultRowHeight="16.5" x14ac:dyDescent="0.25"/>
  <cols>
    <col min="1" max="1" width="5.7109375" style="116" hidden="1" customWidth="1"/>
    <col min="2" max="2" width="46.85546875" style="151" hidden="1" customWidth="1"/>
    <col min="3" max="6" width="9" style="116" hidden="1" customWidth="1"/>
    <col min="7" max="7" width="6.5703125" style="148" bestFit="1" customWidth="1"/>
    <col min="8" max="8" width="59.85546875" style="149" customWidth="1"/>
    <col min="9" max="9" width="2.5703125" style="150" hidden="1" customWidth="1"/>
    <col min="10" max="10" width="16.85546875" style="149" customWidth="1"/>
    <col min="11" max="11" width="11.7109375" style="150" hidden="1" customWidth="1"/>
    <col min="12" max="12" width="13.140625" style="149" customWidth="1"/>
    <col min="13" max="13" width="11.7109375" style="149" hidden="1" customWidth="1"/>
    <col min="14" max="14" width="13.42578125" style="149" customWidth="1"/>
    <col min="15" max="16" width="11.7109375" style="149" hidden="1" customWidth="1"/>
    <col min="17" max="17" width="1.28515625" style="150" hidden="1" customWidth="1"/>
    <col min="18" max="249" width="9.140625" style="136"/>
    <col min="250" max="255" width="0" style="136" hidden="1" customWidth="1"/>
    <col min="256" max="256" width="6.5703125" style="136" bestFit="1" customWidth="1"/>
    <col min="257" max="257" width="66.28515625" style="136" customWidth="1"/>
    <col min="258" max="258" width="0" style="136" hidden="1" customWidth="1"/>
    <col min="259" max="259" width="11.7109375" style="136" customWidth="1"/>
    <col min="260" max="260" width="0" style="136" hidden="1" customWidth="1"/>
    <col min="261" max="261" width="11.7109375" style="136" customWidth="1"/>
    <col min="262" max="262" width="0" style="136" hidden="1" customWidth="1"/>
    <col min="263" max="263" width="11.7109375" style="136" customWidth="1"/>
    <col min="264" max="264" width="0" style="136" hidden="1" customWidth="1"/>
    <col min="265" max="265" width="11.7109375" style="136" customWidth="1"/>
    <col min="266" max="266" width="0" style="136" hidden="1" customWidth="1"/>
    <col min="267" max="267" width="11.5703125" style="136" customWidth="1"/>
    <col min="268" max="268" width="0" style="136" hidden="1" customWidth="1"/>
    <col min="269" max="269" width="11.5703125" style="136" customWidth="1"/>
    <col min="270" max="270" width="0" style="136" hidden="1" customWidth="1"/>
    <col min="271" max="271" width="11.5703125" style="136" customWidth="1"/>
    <col min="272" max="272" width="0" style="136" hidden="1" customWidth="1"/>
    <col min="273" max="273" width="11.5703125" style="136" customWidth="1"/>
    <col min="274" max="505" width="9.140625" style="136"/>
    <col min="506" max="511" width="0" style="136" hidden="1" customWidth="1"/>
    <col min="512" max="512" width="6.5703125" style="136" bestFit="1" customWidth="1"/>
    <col min="513" max="513" width="66.28515625" style="136" customWidth="1"/>
    <col min="514" max="514" width="0" style="136" hidden="1" customWidth="1"/>
    <col min="515" max="515" width="11.7109375" style="136" customWidth="1"/>
    <col min="516" max="516" width="0" style="136" hidden="1" customWidth="1"/>
    <col min="517" max="517" width="11.7109375" style="136" customWidth="1"/>
    <col min="518" max="518" width="0" style="136" hidden="1" customWidth="1"/>
    <col min="519" max="519" width="11.7109375" style="136" customWidth="1"/>
    <col min="520" max="520" width="0" style="136" hidden="1" customWidth="1"/>
    <col min="521" max="521" width="11.7109375" style="136" customWidth="1"/>
    <col min="522" max="522" width="0" style="136" hidden="1" customWidth="1"/>
    <col min="523" max="523" width="11.5703125" style="136" customWidth="1"/>
    <col min="524" max="524" width="0" style="136" hidden="1" customWidth="1"/>
    <col min="525" max="525" width="11.5703125" style="136" customWidth="1"/>
    <col min="526" max="526" width="0" style="136" hidden="1" customWidth="1"/>
    <col min="527" max="527" width="11.5703125" style="136" customWidth="1"/>
    <col min="528" max="528" width="0" style="136" hidden="1" customWidth="1"/>
    <col min="529" max="529" width="11.5703125" style="136" customWidth="1"/>
    <col min="530" max="761" width="9.140625" style="136"/>
    <col min="762" max="767" width="0" style="136" hidden="1" customWidth="1"/>
    <col min="768" max="768" width="6.5703125" style="136" bestFit="1" customWidth="1"/>
    <col min="769" max="769" width="66.28515625" style="136" customWidth="1"/>
    <col min="770" max="770" width="0" style="136" hidden="1" customWidth="1"/>
    <col min="771" max="771" width="11.7109375" style="136" customWidth="1"/>
    <col min="772" max="772" width="0" style="136" hidden="1" customWidth="1"/>
    <col min="773" max="773" width="11.7109375" style="136" customWidth="1"/>
    <col min="774" max="774" width="0" style="136" hidden="1" customWidth="1"/>
    <col min="775" max="775" width="11.7109375" style="136" customWidth="1"/>
    <col min="776" max="776" width="0" style="136" hidden="1" customWidth="1"/>
    <col min="777" max="777" width="11.7109375" style="136" customWidth="1"/>
    <col min="778" max="778" width="0" style="136" hidden="1" customWidth="1"/>
    <col min="779" max="779" width="11.5703125" style="136" customWidth="1"/>
    <col min="780" max="780" width="0" style="136" hidden="1" customWidth="1"/>
    <col min="781" max="781" width="11.5703125" style="136" customWidth="1"/>
    <col min="782" max="782" width="0" style="136" hidden="1" customWidth="1"/>
    <col min="783" max="783" width="11.5703125" style="136" customWidth="1"/>
    <col min="784" max="784" width="0" style="136" hidden="1" customWidth="1"/>
    <col min="785" max="785" width="11.5703125" style="136" customWidth="1"/>
    <col min="786" max="1017" width="9.140625" style="136"/>
    <col min="1018" max="1023" width="0" style="136" hidden="1" customWidth="1"/>
    <col min="1024" max="1024" width="6.5703125" style="136" bestFit="1" customWidth="1"/>
    <col min="1025" max="1025" width="66.28515625" style="136" customWidth="1"/>
    <col min="1026" max="1026" width="0" style="136" hidden="1" customWidth="1"/>
    <col min="1027" max="1027" width="11.7109375" style="136" customWidth="1"/>
    <col min="1028" max="1028" width="0" style="136" hidden="1" customWidth="1"/>
    <col min="1029" max="1029" width="11.7109375" style="136" customWidth="1"/>
    <col min="1030" max="1030" width="0" style="136" hidden="1" customWidth="1"/>
    <col min="1031" max="1031" width="11.7109375" style="136" customWidth="1"/>
    <col min="1032" max="1032" width="0" style="136" hidden="1" customWidth="1"/>
    <col min="1033" max="1033" width="11.7109375" style="136" customWidth="1"/>
    <col min="1034" max="1034" width="0" style="136" hidden="1" customWidth="1"/>
    <col min="1035" max="1035" width="11.5703125" style="136" customWidth="1"/>
    <col min="1036" max="1036" width="0" style="136" hidden="1" customWidth="1"/>
    <col min="1037" max="1037" width="11.5703125" style="136" customWidth="1"/>
    <col min="1038" max="1038" width="0" style="136" hidden="1" customWidth="1"/>
    <col min="1039" max="1039" width="11.5703125" style="136" customWidth="1"/>
    <col min="1040" max="1040" width="0" style="136" hidden="1" customWidth="1"/>
    <col min="1041" max="1041" width="11.5703125" style="136" customWidth="1"/>
    <col min="1042" max="1273" width="9.140625" style="136"/>
    <col min="1274" max="1279" width="0" style="136" hidden="1" customWidth="1"/>
    <col min="1280" max="1280" width="6.5703125" style="136" bestFit="1" customWidth="1"/>
    <col min="1281" max="1281" width="66.28515625" style="136" customWidth="1"/>
    <col min="1282" max="1282" width="0" style="136" hidden="1" customWidth="1"/>
    <col min="1283" max="1283" width="11.7109375" style="136" customWidth="1"/>
    <col min="1284" max="1284" width="0" style="136" hidden="1" customWidth="1"/>
    <col min="1285" max="1285" width="11.7109375" style="136" customWidth="1"/>
    <col min="1286" max="1286" width="0" style="136" hidden="1" customWidth="1"/>
    <col min="1287" max="1287" width="11.7109375" style="136" customWidth="1"/>
    <col min="1288" max="1288" width="0" style="136" hidden="1" customWidth="1"/>
    <col min="1289" max="1289" width="11.7109375" style="136" customWidth="1"/>
    <col min="1290" max="1290" width="0" style="136" hidden="1" customWidth="1"/>
    <col min="1291" max="1291" width="11.5703125" style="136" customWidth="1"/>
    <col min="1292" max="1292" width="0" style="136" hidden="1" customWidth="1"/>
    <col min="1293" max="1293" width="11.5703125" style="136" customWidth="1"/>
    <col min="1294" max="1294" width="0" style="136" hidden="1" customWidth="1"/>
    <col min="1295" max="1295" width="11.5703125" style="136" customWidth="1"/>
    <col min="1296" max="1296" width="0" style="136" hidden="1" customWidth="1"/>
    <col min="1297" max="1297" width="11.5703125" style="136" customWidth="1"/>
    <col min="1298" max="1529" width="9.140625" style="136"/>
    <col min="1530" max="1535" width="0" style="136" hidden="1" customWidth="1"/>
    <col min="1536" max="1536" width="6.5703125" style="136" bestFit="1" customWidth="1"/>
    <col min="1537" max="1537" width="66.28515625" style="136" customWidth="1"/>
    <col min="1538" max="1538" width="0" style="136" hidden="1" customWidth="1"/>
    <col min="1539" max="1539" width="11.7109375" style="136" customWidth="1"/>
    <col min="1540" max="1540" width="0" style="136" hidden="1" customWidth="1"/>
    <col min="1541" max="1541" width="11.7109375" style="136" customWidth="1"/>
    <col min="1542" max="1542" width="0" style="136" hidden="1" customWidth="1"/>
    <col min="1543" max="1543" width="11.7109375" style="136" customWidth="1"/>
    <col min="1544" max="1544" width="0" style="136" hidden="1" customWidth="1"/>
    <col min="1545" max="1545" width="11.7109375" style="136" customWidth="1"/>
    <col min="1546" max="1546" width="0" style="136" hidden="1" customWidth="1"/>
    <col min="1547" max="1547" width="11.5703125" style="136" customWidth="1"/>
    <col min="1548" max="1548" width="0" style="136" hidden="1" customWidth="1"/>
    <col min="1549" max="1549" width="11.5703125" style="136" customWidth="1"/>
    <col min="1550" max="1550" width="0" style="136" hidden="1" customWidth="1"/>
    <col min="1551" max="1551" width="11.5703125" style="136" customWidth="1"/>
    <col min="1552" max="1552" width="0" style="136" hidden="1" customWidth="1"/>
    <col min="1553" max="1553" width="11.5703125" style="136" customWidth="1"/>
    <col min="1554" max="1785" width="9.140625" style="136"/>
    <col min="1786" max="1791" width="0" style="136" hidden="1" customWidth="1"/>
    <col min="1792" max="1792" width="6.5703125" style="136" bestFit="1" customWidth="1"/>
    <col min="1793" max="1793" width="66.28515625" style="136" customWidth="1"/>
    <col min="1794" max="1794" width="0" style="136" hidden="1" customWidth="1"/>
    <col min="1795" max="1795" width="11.7109375" style="136" customWidth="1"/>
    <col min="1796" max="1796" width="0" style="136" hidden="1" customWidth="1"/>
    <col min="1797" max="1797" width="11.7109375" style="136" customWidth="1"/>
    <col min="1798" max="1798" width="0" style="136" hidden="1" customWidth="1"/>
    <col min="1799" max="1799" width="11.7109375" style="136" customWidth="1"/>
    <col min="1800" max="1800" width="0" style="136" hidden="1" customWidth="1"/>
    <col min="1801" max="1801" width="11.7109375" style="136" customWidth="1"/>
    <col min="1802" max="1802" width="0" style="136" hidden="1" customWidth="1"/>
    <col min="1803" max="1803" width="11.5703125" style="136" customWidth="1"/>
    <col min="1804" max="1804" width="0" style="136" hidden="1" customWidth="1"/>
    <col min="1805" max="1805" width="11.5703125" style="136" customWidth="1"/>
    <col min="1806" max="1806" width="0" style="136" hidden="1" customWidth="1"/>
    <col min="1807" max="1807" width="11.5703125" style="136" customWidth="1"/>
    <col min="1808" max="1808" width="0" style="136" hidden="1" customWidth="1"/>
    <col min="1809" max="1809" width="11.5703125" style="136" customWidth="1"/>
    <col min="1810" max="2041" width="9.140625" style="136"/>
    <col min="2042" max="2047" width="0" style="136" hidden="1" customWidth="1"/>
    <col min="2048" max="2048" width="6.5703125" style="136" bestFit="1" customWidth="1"/>
    <col min="2049" max="2049" width="66.28515625" style="136" customWidth="1"/>
    <col min="2050" max="2050" width="0" style="136" hidden="1" customWidth="1"/>
    <col min="2051" max="2051" width="11.7109375" style="136" customWidth="1"/>
    <col min="2052" max="2052" width="0" style="136" hidden="1" customWidth="1"/>
    <col min="2053" max="2053" width="11.7109375" style="136" customWidth="1"/>
    <col min="2054" max="2054" width="0" style="136" hidden="1" customWidth="1"/>
    <col min="2055" max="2055" width="11.7109375" style="136" customWidth="1"/>
    <col min="2056" max="2056" width="0" style="136" hidden="1" customWidth="1"/>
    <col min="2057" max="2057" width="11.7109375" style="136" customWidth="1"/>
    <col min="2058" max="2058" width="0" style="136" hidden="1" customWidth="1"/>
    <col min="2059" max="2059" width="11.5703125" style="136" customWidth="1"/>
    <col min="2060" max="2060" width="0" style="136" hidden="1" customWidth="1"/>
    <col min="2061" max="2061" width="11.5703125" style="136" customWidth="1"/>
    <col min="2062" max="2062" width="0" style="136" hidden="1" customWidth="1"/>
    <col min="2063" max="2063" width="11.5703125" style="136" customWidth="1"/>
    <col min="2064" max="2064" width="0" style="136" hidden="1" customWidth="1"/>
    <col min="2065" max="2065" width="11.5703125" style="136" customWidth="1"/>
    <col min="2066" max="2297" width="9.140625" style="136"/>
    <col min="2298" max="2303" width="0" style="136" hidden="1" customWidth="1"/>
    <col min="2304" max="2304" width="6.5703125" style="136" bestFit="1" customWidth="1"/>
    <col min="2305" max="2305" width="66.28515625" style="136" customWidth="1"/>
    <col min="2306" max="2306" width="0" style="136" hidden="1" customWidth="1"/>
    <col min="2307" max="2307" width="11.7109375" style="136" customWidth="1"/>
    <col min="2308" max="2308" width="0" style="136" hidden="1" customWidth="1"/>
    <col min="2309" max="2309" width="11.7109375" style="136" customWidth="1"/>
    <col min="2310" max="2310" width="0" style="136" hidden="1" customWidth="1"/>
    <col min="2311" max="2311" width="11.7109375" style="136" customWidth="1"/>
    <col min="2312" max="2312" width="0" style="136" hidden="1" customWidth="1"/>
    <col min="2313" max="2313" width="11.7109375" style="136" customWidth="1"/>
    <col min="2314" max="2314" width="0" style="136" hidden="1" customWidth="1"/>
    <col min="2315" max="2315" width="11.5703125" style="136" customWidth="1"/>
    <col min="2316" max="2316" width="0" style="136" hidden="1" customWidth="1"/>
    <col min="2317" max="2317" width="11.5703125" style="136" customWidth="1"/>
    <col min="2318" max="2318" width="0" style="136" hidden="1" customWidth="1"/>
    <col min="2319" max="2319" width="11.5703125" style="136" customWidth="1"/>
    <col min="2320" max="2320" width="0" style="136" hidden="1" customWidth="1"/>
    <col min="2321" max="2321" width="11.5703125" style="136" customWidth="1"/>
    <col min="2322" max="2553" width="9.140625" style="136"/>
    <col min="2554" max="2559" width="0" style="136" hidden="1" customWidth="1"/>
    <col min="2560" max="2560" width="6.5703125" style="136" bestFit="1" customWidth="1"/>
    <col min="2561" max="2561" width="66.28515625" style="136" customWidth="1"/>
    <col min="2562" max="2562" width="0" style="136" hidden="1" customWidth="1"/>
    <col min="2563" max="2563" width="11.7109375" style="136" customWidth="1"/>
    <col min="2564" max="2564" width="0" style="136" hidden="1" customWidth="1"/>
    <col min="2565" max="2565" width="11.7109375" style="136" customWidth="1"/>
    <col min="2566" max="2566" width="0" style="136" hidden="1" customWidth="1"/>
    <col min="2567" max="2567" width="11.7109375" style="136" customWidth="1"/>
    <col min="2568" max="2568" width="0" style="136" hidden="1" customWidth="1"/>
    <col min="2569" max="2569" width="11.7109375" style="136" customWidth="1"/>
    <col min="2570" max="2570" width="0" style="136" hidden="1" customWidth="1"/>
    <col min="2571" max="2571" width="11.5703125" style="136" customWidth="1"/>
    <col min="2572" max="2572" width="0" style="136" hidden="1" customWidth="1"/>
    <col min="2573" max="2573" width="11.5703125" style="136" customWidth="1"/>
    <col min="2574" max="2574" width="0" style="136" hidden="1" customWidth="1"/>
    <col min="2575" max="2575" width="11.5703125" style="136" customWidth="1"/>
    <col min="2576" max="2576" width="0" style="136" hidden="1" customWidth="1"/>
    <col min="2577" max="2577" width="11.5703125" style="136" customWidth="1"/>
    <col min="2578" max="2809" width="9.140625" style="136"/>
    <col min="2810" max="2815" width="0" style="136" hidden="1" customWidth="1"/>
    <col min="2816" max="2816" width="6.5703125" style="136" bestFit="1" customWidth="1"/>
    <col min="2817" max="2817" width="66.28515625" style="136" customWidth="1"/>
    <col min="2818" max="2818" width="0" style="136" hidden="1" customWidth="1"/>
    <col min="2819" max="2819" width="11.7109375" style="136" customWidth="1"/>
    <col min="2820" max="2820" width="0" style="136" hidden="1" customWidth="1"/>
    <col min="2821" max="2821" width="11.7109375" style="136" customWidth="1"/>
    <col min="2822" max="2822" width="0" style="136" hidden="1" customWidth="1"/>
    <col min="2823" max="2823" width="11.7109375" style="136" customWidth="1"/>
    <col min="2824" max="2824" width="0" style="136" hidden="1" customWidth="1"/>
    <col min="2825" max="2825" width="11.7109375" style="136" customWidth="1"/>
    <col min="2826" max="2826" width="0" style="136" hidden="1" customWidth="1"/>
    <col min="2827" max="2827" width="11.5703125" style="136" customWidth="1"/>
    <col min="2828" max="2828" width="0" style="136" hidden="1" customWidth="1"/>
    <col min="2829" max="2829" width="11.5703125" style="136" customWidth="1"/>
    <col min="2830" max="2830" width="0" style="136" hidden="1" customWidth="1"/>
    <col min="2831" max="2831" width="11.5703125" style="136" customWidth="1"/>
    <col min="2832" max="2832" width="0" style="136" hidden="1" customWidth="1"/>
    <col min="2833" max="2833" width="11.5703125" style="136" customWidth="1"/>
    <col min="2834" max="3065" width="9.140625" style="136"/>
    <col min="3066" max="3071" width="0" style="136" hidden="1" customWidth="1"/>
    <col min="3072" max="3072" width="6.5703125" style="136" bestFit="1" customWidth="1"/>
    <col min="3073" max="3073" width="66.28515625" style="136" customWidth="1"/>
    <col min="3074" max="3074" width="0" style="136" hidden="1" customWidth="1"/>
    <col min="3075" max="3075" width="11.7109375" style="136" customWidth="1"/>
    <col min="3076" max="3076" width="0" style="136" hidden="1" customWidth="1"/>
    <col min="3077" max="3077" width="11.7109375" style="136" customWidth="1"/>
    <col min="3078" max="3078" width="0" style="136" hidden="1" customWidth="1"/>
    <col min="3079" max="3079" width="11.7109375" style="136" customWidth="1"/>
    <col min="3080" max="3080" width="0" style="136" hidden="1" customWidth="1"/>
    <col min="3081" max="3081" width="11.7109375" style="136" customWidth="1"/>
    <col min="3082" max="3082" width="0" style="136" hidden="1" customWidth="1"/>
    <col min="3083" max="3083" width="11.5703125" style="136" customWidth="1"/>
    <col min="3084" max="3084" width="0" style="136" hidden="1" customWidth="1"/>
    <col min="3085" max="3085" width="11.5703125" style="136" customWidth="1"/>
    <col min="3086" max="3086" width="0" style="136" hidden="1" customWidth="1"/>
    <col min="3087" max="3087" width="11.5703125" style="136" customWidth="1"/>
    <col min="3088" max="3088" width="0" style="136" hidden="1" customWidth="1"/>
    <col min="3089" max="3089" width="11.5703125" style="136" customWidth="1"/>
    <col min="3090" max="3321" width="9.140625" style="136"/>
    <col min="3322" max="3327" width="0" style="136" hidden="1" customWidth="1"/>
    <col min="3328" max="3328" width="6.5703125" style="136" bestFit="1" customWidth="1"/>
    <col min="3329" max="3329" width="66.28515625" style="136" customWidth="1"/>
    <col min="3330" max="3330" width="0" style="136" hidden="1" customWidth="1"/>
    <col min="3331" max="3331" width="11.7109375" style="136" customWidth="1"/>
    <col min="3332" max="3332" width="0" style="136" hidden="1" customWidth="1"/>
    <col min="3333" max="3333" width="11.7109375" style="136" customWidth="1"/>
    <col min="3334" max="3334" width="0" style="136" hidden="1" customWidth="1"/>
    <col min="3335" max="3335" width="11.7109375" style="136" customWidth="1"/>
    <col min="3336" max="3336" width="0" style="136" hidden="1" customWidth="1"/>
    <col min="3337" max="3337" width="11.7109375" style="136" customWidth="1"/>
    <col min="3338" max="3338" width="0" style="136" hidden="1" customWidth="1"/>
    <col min="3339" max="3339" width="11.5703125" style="136" customWidth="1"/>
    <col min="3340" max="3340" width="0" style="136" hidden="1" customWidth="1"/>
    <col min="3341" max="3341" width="11.5703125" style="136" customWidth="1"/>
    <col min="3342" max="3342" width="0" style="136" hidden="1" customWidth="1"/>
    <col min="3343" max="3343" width="11.5703125" style="136" customWidth="1"/>
    <col min="3344" max="3344" width="0" style="136" hidden="1" customWidth="1"/>
    <col min="3345" max="3345" width="11.5703125" style="136" customWidth="1"/>
    <col min="3346" max="3577" width="9.140625" style="136"/>
    <col min="3578" max="3583" width="0" style="136" hidden="1" customWidth="1"/>
    <col min="3584" max="3584" width="6.5703125" style="136" bestFit="1" customWidth="1"/>
    <col min="3585" max="3585" width="66.28515625" style="136" customWidth="1"/>
    <col min="3586" max="3586" width="0" style="136" hidden="1" customWidth="1"/>
    <col min="3587" max="3587" width="11.7109375" style="136" customWidth="1"/>
    <col min="3588" max="3588" width="0" style="136" hidden="1" customWidth="1"/>
    <col min="3589" max="3589" width="11.7109375" style="136" customWidth="1"/>
    <col min="3590" max="3590" width="0" style="136" hidden="1" customWidth="1"/>
    <col min="3591" max="3591" width="11.7109375" style="136" customWidth="1"/>
    <col min="3592" max="3592" width="0" style="136" hidden="1" customWidth="1"/>
    <col min="3593" max="3593" width="11.7109375" style="136" customWidth="1"/>
    <col min="3594" max="3594" width="0" style="136" hidden="1" customWidth="1"/>
    <col min="3595" max="3595" width="11.5703125" style="136" customWidth="1"/>
    <col min="3596" max="3596" width="0" style="136" hidden="1" customWidth="1"/>
    <col min="3597" max="3597" width="11.5703125" style="136" customWidth="1"/>
    <col min="3598" max="3598" width="0" style="136" hidden="1" customWidth="1"/>
    <col min="3599" max="3599" width="11.5703125" style="136" customWidth="1"/>
    <col min="3600" max="3600" width="0" style="136" hidden="1" customWidth="1"/>
    <col min="3601" max="3601" width="11.5703125" style="136" customWidth="1"/>
    <col min="3602" max="3833" width="9.140625" style="136"/>
    <col min="3834" max="3839" width="0" style="136" hidden="1" customWidth="1"/>
    <col min="3840" max="3840" width="6.5703125" style="136" bestFit="1" customWidth="1"/>
    <col min="3841" max="3841" width="66.28515625" style="136" customWidth="1"/>
    <col min="3842" max="3842" width="0" style="136" hidden="1" customWidth="1"/>
    <col min="3843" max="3843" width="11.7109375" style="136" customWidth="1"/>
    <col min="3844" max="3844" width="0" style="136" hidden="1" customWidth="1"/>
    <col min="3845" max="3845" width="11.7109375" style="136" customWidth="1"/>
    <col min="3846" max="3846" width="0" style="136" hidden="1" customWidth="1"/>
    <col min="3847" max="3847" width="11.7109375" style="136" customWidth="1"/>
    <col min="3848" max="3848" width="0" style="136" hidden="1" customWidth="1"/>
    <col min="3849" max="3849" width="11.7109375" style="136" customWidth="1"/>
    <col min="3850" max="3850" width="0" style="136" hidden="1" customWidth="1"/>
    <col min="3851" max="3851" width="11.5703125" style="136" customWidth="1"/>
    <col min="3852" max="3852" width="0" style="136" hidden="1" customWidth="1"/>
    <col min="3853" max="3853" width="11.5703125" style="136" customWidth="1"/>
    <col min="3854" max="3854" width="0" style="136" hidden="1" customWidth="1"/>
    <col min="3855" max="3855" width="11.5703125" style="136" customWidth="1"/>
    <col min="3856" max="3856" width="0" style="136" hidden="1" customWidth="1"/>
    <col min="3857" max="3857" width="11.5703125" style="136" customWidth="1"/>
    <col min="3858" max="4089" width="9.140625" style="136"/>
    <col min="4090" max="4095" width="0" style="136" hidden="1" customWidth="1"/>
    <col min="4096" max="4096" width="6.5703125" style="136" bestFit="1" customWidth="1"/>
    <col min="4097" max="4097" width="66.28515625" style="136" customWidth="1"/>
    <col min="4098" max="4098" width="0" style="136" hidden="1" customWidth="1"/>
    <col min="4099" max="4099" width="11.7109375" style="136" customWidth="1"/>
    <col min="4100" max="4100" width="0" style="136" hidden="1" customWidth="1"/>
    <col min="4101" max="4101" width="11.7109375" style="136" customWidth="1"/>
    <col min="4102" max="4102" width="0" style="136" hidden="1" customWidth="1"/>
    <col min="4103" max="4103" width="11.7109375" style="136" customWidth="1"/>
    <col min="4104" max="4104" width="0" style="136" hidden="1" customWidth="1"/>
    <col min="4105" max="4105" width="11.7109375" style="136" customWidth="1"/>
    <col min="4106" max="4106" width="0" style="136" hidden="1" customWidth="1"/>
    <col min="4107" max="4107" width="11.5703125" style="136" customWidth="1"/>
    <col min="4108" max="4108" width="0" style="136" hidden="1" customWidth="1"/>
    <col min="4109" max="4109" width="11.5703125" style="136" customWidth="1"/>
    <col min="4110" max="4110" width="0" style="136" hidden="1" customWidth="1"/>
    <col min="4111" max="4111" width="11.5703125" style="136" customWidth="1"/>
    <col min="4112" max="4112" width="0" style="136" hidden="1" customWidth="1"/>
    <col min="4113" max="4113" width="11.5703125" style="136" customWidth="1"/>
    <col min="4114" max="4345" width="9.140625" style="136"/>
    <col min="4346" max="4351" width="0" style="136" hidden="1" customWidth="1"/>
    <col min="4352" max="4352" width="6.5703125" style="136" bestFit="1" customWidth="1"/>
    <col min="4353" max="4353" width="66.28515625" style="136" customWidth="1"/>
    <col min="4354" max="4354" width="0" style="136" hidden="1" customWidth="1"/>
    <col min="4355" max="4355" width="11.7109375" style="136" customWidth="1"/>
    <col min="4356" max="4356" width="0" style="136" hidden="1" customWidth="1"/>
    <col min="4357" max="4357" width="11.7109375" style="136" customWidth="1"/>
    <col min="4358" max="4358" width="0" style="136" hidden="1" customWidth="1"/>
    <col min="4359" max="4359" width="11.7109375" style="136" customWidth="1"/>
    <col min="4360" max="4360" width="0" style="136" hidden="1" customWidth="1"/>
    <col min="4361" max="4361" width="11.7109375" style="136" customWidth="1"/>
    <col min="4362" max="4362" width="0" style="136" hidden="1" customWidth="1"/>
    <col min="4363" max="4363" width="11.5703125" style="136" customWidth="1"/>
    <col min="4364" max="4364" width="0" style="136" hidden="1" customWidth="1"/>
    <col min="4365" max="4365" width="11.5703125" style="136" customWidth="1"/>
    <col min="4366" max="4366" width="0" style="136" hidden="1" customWidth="1"/>
    <col min="4367" max="4367" width="11.5703125" style="136" customWidth="1"/>
    <col min="4368" max="4368" width="0" style="136" hidden="1" customWidth="1"/>
    <col min="4369" max="4369" width="11.5703125" style="136" customWidth="1"/>
    <col min="4370" max="4601" width="9.140625" style="136"/>
    <col min="4602" max="4607" width="0" style="136" hidden="1" customWidth="1"/>
    <col min="4608" max="4608" width="6.5703125" style="136" bestFit="1" customWidth="1"/>
    <col min="4609" max="4609" width="66.28515625" style="136" customWidth="1"/>
    <col min="4610" max="4610" width="0" style="136" hidden="1" customWidth="1"/>
    <col min="4611" max="4611" width="11.7109375" style="136" customWidth="1"/>
    <col min="4612" max="4612" width="0" style="136" hidden="1" customWidth="1"/>
    <col min="4613" max="4613" width="11.7109375" style="136" customWidth="1"/>
    <col min="4614" max="4614" width="0" style="136" hidden="1" customWidth="1"/>
    <col min="4615" max="4615" width="11.7109375" style="136" customWidth="1"/>
    <col min="4616" max="4616" width="0" style="136" hidden="1" customWidth="1"/>
    <col min="4617" max="4617" width="11.7109375" style="136" customWidth="1"/>
    <col min="4618" max="4618" width="0" style="136" hidden="1" customWidth="1"/>
    <col min="4619" max="4619" width="11.5703125" style="136" customWidth="1"/>
    <col min="4620" max="4620" width="0" style="136" hidden="1" customWidth="1"/>
    <col min="4621" max="4621" width="11.5703125" style="136" customWidth="1"/>
    <col min="4622" max="4622" width="0" style="136" hidden="1" customWidth="1"/>
    <col min="4623" max="4623" width="11.5703125" style="136" customWidth="1"/>
    <col min="4624" max="4624" width="0" style="136" hidden="1" customWidth="1"/>
    <col min="4625" max="4625" width="11.5703125" style="136" customWidth="1"/>
    <col min="4626" max="4857" width="9.140625" style="136"/>
    <col min="4858" max="4863" width="0" style="136" hidden="1" customWidth="1"/>
    <col min="4864" max="4864" width="6.5703125" style="136" bestFit="1" customWidth="1"/>
    <col min="4865" max="4865" width="66.28515625" style="136" customWidth="1"/>
    <col min="4866" max="4866" width="0" style="136" hidden="1" customWidth="1"/>
    <col min="4867" max="4867" width="11.7109375" style="136" customWidth="1"/>
    <col min="4868" max="4868" width="0" style="136" hidden="1" customWidth="1"/>
    <col min="4869" max="4869" width="11.7109375" style="136" customWidth="1"/>
    <col min="4870" max="4870" width="0" style="136" hidden="1" customWidth="1"/>
    <col min="4871" max="4871" width="11.7109375" style="136" customWidth="1"/>
    <col min="4872" max="4872" width="0" style="136" hidden="1" customWidth="1"/>
    <col min="4873" max="4873" width="11.7109375" style="136" customWidth="1"/>
    <col min="4874" max="4874" width="0" style="136" hidden="1" customWidth="1"/>
    <col min="4875" max="4875" width="11.5703125" style="136" customWidth="1"/>
    <col min="4876" max="4876" width="0" style="136" hidden="1" customWidth="1"/>
    <col min="4877" max="4877" width="11.5703125" style="136" customWidth="1"/>
    <col min="4878" max="4878" width="0" style="136" hidden="1" customWidth="1"/>
    <col min="4879" max="4879" width="11.5703125" style="136" customWidth="1"/>
    <col min="4880" max="4880" width="0" style="136" hidden="1" customWidth="1"/>
    <col min="4881" max="4881" width="11.5703125" style="136" customWidth="1"/>
    <col min="4882" max="5113" width="9.140625" style="136"/>
    <col min="5114" max="5119" width="0" style="136" hidden="1" customWidth="1"/>
    <col min="5120" max="5120" width="6.5703125" style="136" bestFit="1" customWidth="1"/>
    <col min="5121" max="5121" width="66.28515625" style="136" customWidth="1"/>
    <col min="5122" max="5122" width="0" style="136" hidden="1" customWidth="1"/>
    <col min="5123" max="5123" width="11.7109375" style="136" customWidth="1"/>
    <col min="5124" max="5124" width="0" style="136" hidden="1" customWidth="1"/>
    <col min="5125" max="5125" width="11.7109375" style="136" customWidth="1"/>
    <col min="5126" max="5126" width="0" style="136" hidden="1" customWidth="1"/>
    <col min="5127" max="5127" width="11.7109375" style="136" customWidth="1"/>
    <col min="5128" max="5128" width="0" style="136" hidden="1" customWidth="1"/>
    <col min="5129" max="5129" width="11.7109375" style="136" customWidth="1"/>
    <col min="5130" max="5130" width="0" style="136" hidden="1" customWidth="1"/>
    <col min="5131" max="5131" width="11.5703125" style="136" customWidth="1"/>
    <col min="5132" max="5132" width="0" style="136" hidden="1" customWidth="1"/>
    <col min="5133" max="5133" width="11.5703125" style="136" customWidth="1"/>
    <col min="5134" max="5134" width="0" style="136" hidden="1" customWidth="1"/>
    <col min="5135" max="5135" width="11.5703125" style="136" customWidth="1"/>
    <col min="5136" max="5136" width="0" style="136" hidden="1" customWidth="1"/>
    <col min="5137" max="5137" width="11.5703125" style="136" customWidth="1"/>
    <col min="5138" max="5369" width="9.140625" style="136"/>
    <col min="5370" max="5375" width="0" style="136" hidden="1" customWidth="1"/>
    <col min="5376" max="5376" width="6.5703125" style="136" bestFit="1" customWidth="1"/>
    <col min="5377" max="5377" width="66.28515625" style="136" customWidth="1"/>
    <col min="5378" max="5378" width="0" style="136" hidden="1" customWidth="1"/>
    <col min="5379" max="5379" width="11.7109375" style="136" customWidth="1"/>
    <col min="5380" max="5380" width="0" style="136" hidden="1" customWidth="1"/>
    <col min="5381" max="5381" width="11.7109375" style="136" customWidth="1"/>
    <col min="5382" max="5382" width="0" style="136" hidden="1" customWidth="1"/>
    <col min="5383" max="5383" width="11.7109375" style="136" customWidth="1"/>
    <col min="5384" max="5384" width="0" style="136" hidden="1" customWidth="1"/>
    <col min="5385" max="5385" width="11.7109375" style="136" customWidth="1"/>
    <col min="5386" max="5386" width="0" style="136" hidden="1" customWidth="1"/>
    <col min="5387" max="5387" width="11.5703125" style="136" customWidth="1"/>
    <col min="5388" max="5388" width="0" style="136" hidden="1" customWidth="1"/>
    <col min="5389" max="5389" width="11.5703125" style="136" customWidth="1"/>
    <col min="5390" max="5390" width="0" style="136" hidden="1" customWidth="1"/>
    <col min="5391" max="5391" width="11.5703125" style="136" customWidth="1"/>
    <col min="5392" max="5392" width="0" style="136" hidden="1" customWidth="1"/>
    <col min="5393" max="5393" width="11.5703125" style="136" customWidth="1"/>
    <col min="5394" max="5625" width="9.140625" style="136"/>
    <col min="5626" max="5631" width="0" style="136" hidden="1" customWidth="1"/>
    <col min="5632" max="5632" width="6.5703125" style="136" bestFit="1" customWidth="1"/>
    <col min="5633" max="5633" width="66.28515625" style="136" customWidth="1"/>
    <col min="5634" max="5634" width="0" style="136" hidden="1" customWidth="1"/>
    <col min="5635" max="5635" width="11.7109375" style="136" customWidth="1"/>
    <col min="5636" max="5636" width="0" style="136" hidden="1" customWidth="1"/>
    <col min="5637" max="5637" width="11.7109375" style="136" customWidth="1"/>
    <col min="5638" max="5638" width="0" style="136" hidden="1" customWidth="1"/>
    <col min="5639" max="5639" width="11.7109375" style="136" customWidth="1"/>
    <col min="5640" max="5640" width="0" style="136" hidden="1" customWidth="1"/>
    <col min="5641" max="5641" width="11.7109375" style="136" customWidth="1"/>
    <col min="5642" max="5642" width="0" style="136" hidden="1" customWidth="1"/>
    <col min="5643" max="5643" width="11.5703125" style="136" customWidth="1"/>
    <col min="5644" max="5644" width="0" style="136" hidden="1" customWidth="1"/>
    <col min="5645" max="5645" width="11.5703125" style="136" customWidth="1"/>
    <col min="5646" max="5646" width="0" style="136" hidden="1" customWidth="1"/>
    <col min="5647" max="5647" width="11.5703125" style="136" customWidth="1"/>
    <col min="5648" max="5648" width="0" style="136" hidden="1" customWidth="1"/>
    <col min="5649" max="5649" width="11.5703125" style="136" customWidth="1"/>
    <col min="5650" max="5881" width="9.140625" style="136"/>
    <col min="5882" max="5887" width="0" style="136" hidden="1" customWidth="1"/>
    <col min="5888" max="5888" width="6.5703125" style="136" bestFit="1" customWidth="1"/>
    <col min="5889" max="5889" width="66.28515625" style="136" customWidth="1"/>
    <col min="5890" max="5890" width="0" style="136" hidden="1" customWidth="1"/>
    <col min="5891" max="5891" width="11.7109375" style="136" customWidth="1"/>
    <col min="5892" max="5892" width="0" style="136" hidden="1" customWidth="1"/>
    <col min="5893" max="5893" width="11.7109375" style="136" customWidth="1"/>
    <col min="5894" max="5894" width="0" style="136" hidden="1" customWidth="1"/>
    <col min="5895" max="5895" width="11.7109375" style="136" customWidth="1"/>
    <col min="5896" max="5896" width="0" style="136" hidden="1" customWidth="1"/>
    <col min="5897" max="5897" width="11.7109375" style="136" customWidth="1"/>
    <col min="5898" max="5898" width="0" style="136" hidden="1" customWidth="1"/>
    <col min="5899" max="5899" width="11.5703125" style="136" customWidth="1"/>
    <col min="5900" max="5900" width="0" style="136" hidden="1" customWidth="1"/>
    <col min="5901" max="5901" width="11.5703125" style="136" customWidth="1"/>
    <col min="5902" max="5902" width="0" style="136" hidden="1" customWidth="1"/>
    <col min="5903" max="5903" width="11.5703125" style="136" customWidth="1"/>
    <col min="5904" max="5904" width="0" style="136" hidden="1" customWidth="1"/>
    <col min="5905" max="5905" width="11.5703125" style="136" customWidth="1"/>
    <col min="5906" max="6137" width="9.140625" style="136"/>
    <col min="6138" max="6143" width="0" style="136" hidden="1" customWidth="1"/>
    <col min="6144" max="6144" width="6.5703125" style="136" bestFit="1" customWidth="1"/>
    <col min="6145" max="6145" width="66.28515625" style="136" customWidth="1"/>
    <col min="6146" max="6146" width="0" style="136" hidden="1" customWidth="1"/>
    <col min="6147" max="6147" width="11.7109375" style="136" customWidth="1"/>
    <col min="6148" max="6148" width="0" style="136" hidden="1" customWidth="1"/>
    <col min="6149" max="6149" width="11.7109375" style="136" customWidth="1"/>
    <col min="6150" max="6150" width="0" style="136" hidden="1" customWidth="1"/>
    <col min="6151" max="6151" width="11.7109375" style="136" customWidth="1"/>
    <col min="6152" max="6152" width="0" style="136" hidden="1" customWidth="1"/>
    <col min="6153" max="6153" width="11.7109375" style="136" customWidth="1"/>
    <col min="6154" max="6154" width="0" style="136" hidden="1" customWidth="1"/>
    <col min="6155" max="6155" width="11.5703125" style="136" customWidth="1"/>
    <col min="6156" max="6156" width="0" style="136" hidden="1" customWidth="1"/>
    <col min="6157" max="6157" width="11.5703125" style="136" customWidth="1"/>
    <col min="6158" max="6158" width="0" style="136" hidden="1" customWidth="1"/>
    <col min="6159" max="6159" width="11.5703125" style="136" customWidth="1"/>
    <col min="6160" max="6160" width="0" style="136" hidden="1" customWidth="1"/>
    <col min="6161" max="6161" width="11.5703125" style="136" customWidth="1"/>
    <col min="6162" max="6393" width="9.140625" style="136"/>
    <col min="6394" max="6399" width="0" style="136" hidden="1" customWidth="1"/>
    <col min="6400" max="6400" width="6.5703125" style="136" bestFit="1" customWidth="1"/>
    <col min="6401" max="6401" width="66.28515625" style="136" customWidth="1"/>
    <col min="6402" max="6402" width="0" style="136" hidden="1" customWidth="1"/>
    <col min="6403" max="6403" width="11.7109375" style="136" customWidth="1"/>
    <col min="6404" max="6404" width="0" style="136" hidden="1" customWidth="1"/>
    <col min="6405" max="6405" width="11.7109375" style="136" customWidth="1"/>
    <col min="6406" max="6406" width="0" style="136" hidden="1" customWidth="1"/>
    <col min="6407" max="6407" width="11.7109375" style="136" customWidth="1"/>
    <col min="6408" max="6408" width="0" style="136" hidden="1" customWidth="1"/>
    <col min="6409" max="6409" width="11.7109375" style="136" customWidth="1"/>
    <col min="6410" max="6410" width="0" style="136" hidden="1" customWidth="1"/>
    <col min="6411" max="6411" width="11.5703125" style="136" customWidth="1"/>
    <col min="6412" max="6412" width="0" style="136" hidden="1" customWidth="1"/>
    <col min="6413" max="6413" width="11.5703125" style="136" customWidth="1"/>
    <col min="6414" max="6414" width="0" style="136" hidden="1" customWidth="1"/>
    <col min="6415" max="6415" width="11.5703125" style="136" customWidth="1"/>
    <col min="6416" max="6416" width="0" style="136" hidden="1" customWidth="1"/>
    <col min="6417" max="6417" width="11.5703125" style="136" customWidth="1"/>
    <col min="6418" max="6649" width="9.140625" style="136"/>
    <col min="6650" max="6655" width="0" style="136" hidden="1" customWidth="1"/>
    <col min="6656" max="6656" width="6.5703125" style="136" bestFit="1" customWidth="1"/>
    <col min="6657" max="6657" width="66.28515625" style="136" customWidth="1"/>
    <col min="6658" max="6658" width="0" style="136" hidden="1" customWidth="1"/>
    <col min="6659" max="6659" width="11.7109375" style="136" customWidth="1"/>
    <col min="6660" max="6660" width="0" style="136" hidden="1" customWidth="1"/>
    <col min="6661" max="6661" width="11.7109375" style="136" customWidth="1"/>
    <col min="6662" max="6662" width="0" style="136" hidden="1" customWidth="1"/>
    <col min="6663" max="6663" width="11.7109375" style="136" customWidth="1"/>
    <col min="6664" max="6664" width="0" style="136" hidden="1" customWidth="1"/>
    <col min="6665" max="6665" width="11.7109375" style="136" customWidth="1"/>
    <col min="6666" max="6666" width="0" style="136" hidden="1" customWidth="1"/>
    <col min="6667" max="6667" width="11.5703125" style="136" customWidth="1"/>
    <col min="6668" max="6668" width="0" style="136" hidden="1" customWidth="1"/>
    <col min="6669" max="6669" width="11.5703125" style="136" customWidth="1"/>
    <col min="6670" max="6670" width="0" style="136" hidden="1" customWidth="1"/>
    <col min="6671" max="6671" width="11.5703125" style="136" customWidth="1"/>
    <col min="6672" max="6672" width="0" style="136" hidden="1" customWidth="1"/>
    <col min="6673" max="6673" width="11.5703125" style="136" customWidth="1"/>
    <col min="6674" max="6905" width="9.140625" style="136"/>
    <col min="6906" max="6911" width="0" style="136" hidden="1" customWidth="1"/>
    <col min="6912" max="6912" width="6.5703125" style="136" bestFit="1" customWidth="1"/>
    <col min="6913" max="6913" width="66.28515625" style="136" customWidth="1"/>
    <col min="6914" max="6914" width="0" style="136" hidden="1" customWidth="1"/>
    <col min="6915" max="6915" width="11.7109375" style="136" customWidth="1"/>
    <col min="6916" max="6916" width="0" style="136" hidden="1" customWidth="1"/>
    <col min="6917" max="6917" width="11.7109375" style="136" customWidth="1"/>
    <col min="6918" max="6918" width="0" style="136" hidden="1" customWidth="1"/>
    <col min="6919" max="6919" width="11.7109375" style="136" customWidth="1"/>
    <col min="6920" max="6920" width="0" style="136" hidden="1" customWidth="1"/>
    <col min="6921" max="6921" width="11.7109375" style="136" customWidth="1"/>
    <col min="6922" max="6922" width="0" style="136" hidden="1" customWidth="1"/>
    <col min="6923" max="6923" width="11.5703125" style="136" customWidth="1"/>
    <col min="6924" max="6924" width="0" style="136" hidden="1" customWidth="1"/>
    <col min="6925" max="6925" width="11.5703125" style="136" customWidth="1"/>
    <col min="6926" max="6926" width="0" style="136" hidden="1" customWidth="1"/>
    <col min="6927" max="6927" width="11.5703125" style="136" customWidth="1"/>
    <col min="6928" max="6928" width="0" style="136" hidden="1" customWidth="1"/>
    <col min="6929" max="6929" width="11.5703125" style="136" customWidth="1"/>
    <col min="6930" max="7161" width="9.140625" style="136"/>
    <col min="7162" max="7167" width="0" style="136" hidden="1" customWidth="1"/>
    <col min="7168" max="7168" width="6.5703125" style="136" bestFit="1" customWidth="1"/>
    <col min="7169" max="7169" width="66.28515625" style="136" customWidth="1"/>
    <col min="7170" max="7170" width="0" style="136" hidden="1" customWidth="1"/>
    <col min="7171" max="7171" width="11.7109375" style="136" customWidth="1"/>
    <col min="7172" max="7172" width="0" style="136" hidden="1" customWidth="1"/>
    <col min="7173" max="7173" width="11.7109375" style="136" customWidth="1"/>
    <col min="7174" max="7174" width="0" style="136" hidden="1" customWidth="1"/>
    <col min="7175" max="7175" width="11.7109375" style="136" customWidth="1"/>
    <col min="7176" max="7176" width="0" style="136" hidden="1" customWidth="1"/>
    <col min="7177" max="7177" width="11.7109375" style="136" customWidth="1"/>
    <col min="7178" max="7178" width="0" style="136" hidden="1" customWidth="1"/>
    <col min="7179" max="7179" width="11.5703125" style="136" customWidth="1"/>
    <col min="7180" max="7180" width="0" style="136" hidden="1" customWidth="1"/>
    <col min="7181" max="7181" width="11.5703125" style="136" customWidth="1"/>
    <col min="7182" max="7182" width="0" style="136" hidden="1" customWidth="1"/>
    <col min="7183" max="7183" width="11.5703125" style="136" customWidth="1"/>
    <col min="7184" max="7184" width="0" style="136" hidden="1" customWidth="1"/>
    <col min="7185" max="7185" width="11.5703125" style="136" customWidth="1"/>
    <col min="7186" max="7417" width="9.140625" style="136"/>
    <col min="7418" max="7423" width="0" style="136" hidden="1" customWidth="1"/>
    <col min="7424" max="7424" width="6.5703125" style="136" bestFit="1" customWidth="1"/>
    <col min="7425" max="7425" width="66.28515625" style="136" customWidth="1"/>
    <col min="7426" max="7426" width="0" style="136" hidden="1" customWidth="1"/>
    <col min="7427" max="7427" width="11.7109375" style="136" customWidth="1"/>
    <col min="7428" max="7428" width="0" style="136" hidden="1" customWidth="1"/>
    <col min="7429" max="7429" width="11.7109375" style="136" customWidth="1"/>
    <col min="7430" max="7430" width="0" style="136" hidden="1" customWidth="1"/>
    <col min="7431" max="7431" width="11.7109375" style="136" customWidth="1"/>
    <col min="7432" max="7432" width="0" style="136" hidden="1" customWidth="1"/>
    <col min="7433" max="7433" width="11.7109375" style="136" customWidth="1"/>
    <col min="7434" max="7434" width="0" style="136" hidden="1" customWidth="1"/>
    <col min="7435" max="7435" width="11.5703125" style="136" customWidth="1"/>
    <col min="7436" max="7436" width="0" style="136" hidden="1" customWidth="1"/>
    <col min="7437" max="7437" width="11.5703125" style="136" customWidth="1"/>
    <col min="7438" max="7438" width="0" style="136" hidden="1" customWidth="1"/>
    <col min="7439" max="7439" width="11.5703125" style="136" customWidth="1"/>
    <col min="7440" max="7440" width="0" style="136" hidden="1" customWidth="1"/>
    <col min="7441" max="7441" width="11.5703125" style="136" customWidth="1"/>
    <col min="7442" max="7673" width="9.140625" style="136"/>
    <col min="7674" max="7679" width="0" style="136" hidden="1" customWidth="1"/>
    <col min="7680" max="7680" width="6.5703125" style="136" bestFit="1" customWidth="1"/>
    <col min="7681" max="7681" width="66.28515625" style="136" customWidth="1"/>
    <col min="7682" max="7682" width="0" style="136" hidden="1" customWidth="1"/>
    <col min="7683" max="7683" width="11.7109375" style="136" customWidth="1"/>
    <col min="7684" max="7684" width="0" style="136" hidden="1" customWidth="1"/>
    <col min="7685" max="7685" width="11.7109375" style="136" customWidth="1"/>
    <col min="7686" max="7686" width="0" style="136" hidden="1" customWidth="1"/>
    <col min="7687" max="7687" width="11.7109375" style="136" customWidth="1"/>
    <col min="7688" max="7688" width="0" style="136" hidden="1" customWidth="1"/>
    <col min="7689" max="7689" width="11.7109375" style="136" customWidth="1"/>
    <col min="7690" max="7690" width="0" style="136" hidden="1" customWidth="1"/>
    <col min="7691" max="7691" width="11.5703125" style="136" customWidth="1"/>
    <col min="7692" max="7692" width="0" style="136" hidden="1" customWidth="1"/>
    <col min="7693" max="7693" width="11.5703125" style="136" customWidth="1"/>
    <col min="7694" max="7694" width="0" style="136" hidden="1" customWidth="1"/>
    <col min="7695" max="7695" width="11.5703125" style="136" customWidth="1"/>
    <col min="7696" max="7696" width="0" style="136" hidden="1" customWidth="1"/>
    <col min="7697" max="7697" width="11.5703125" style="136" customWidth="1"/>
    <col min="7698" max="7929" width="9.140625" style="136"/>
    <col min="7930" max="7935" width="0" style="136" hidden="1" customWidth="1"/>
    <col min="7936" max="7936" width="6.5703125" style="136" bestFit="1" customWidth="1"/>
    <col min="7937" max="7937" width="66.28515625" style="136" customWidth="1"/>
    <col min="7938" max="7938" width="0" style="136" hidden="1" customWidth="1"/>
    <col min="7939" max="7939" width="11.7109375" style="136" customWidth="1"/>
    <col min="7940" max="7940" width="0" style="136" hidden="1" customWidth="1"/>
    <col min="7941" max="7941" width="11.7109375" style="136" customWidth="1"/>
    <col min="7942" max="7942" width="0" style="136" hidden="1" customWidth="1"/>
    <col min="7943" max="7943" width="11.7109375" style="136" customWidth="1"/>
    <col min="7944" max="7944" width="0" style="136" hidden="1" customWidth="1"/>
    <col min="7945" max="7945" width="11.7109375" style="136" customWidth="1"/>
    <col min="7946" max="7946" width="0" style="136" hidden="1" customWidth="1"/>
    <col min="7947" max="7947" width="11.5703125" style="136" customWidth="1"/>
    <col min="7948" max="7948" width="0" style="136" hidden="1" customWidth="1"/>
    <col min="7949" max="7949" width="11.5703125" style="136" customWidth="1"/>
    <col min="7950" max="7950" width="0" style="136" hidden="1" customWidth="1"/>
    <col min="7951" max="7951" width="11.5703125" style="136" customWidth="1"/>
    <col min="7952" max="7952" width="0" style="136" hidden="1" customWidth="1"/>
    <col min="7953" max="7953" width="11.5703125" style="136" customWidth="1"/>
    <col min="7954" max="8185" width="9.140625" style="136"/>
    <col min="8186" max="8191" width="0" style="136" hidden="1" customWidth="1"/>
    <col min="8192" max="8192" width="6.5703125" style="136" bestFit="1" customWidth="1"/>
    <col min="8193" max="8193" width="66.28515625" style="136" customWidth="1"/>
    <col min="8194" max="8194" width="0" style="136" hidden="1" customWidth="1"/>
    <col min="8195" max="8195" width="11.7109375" style="136" customWidth="1"/>
    <col min="8196" max="8196" width="0" style="136" hidden="1" customWidth="1"/>
    <col min="8197" max="8197" width="11.7109375" style="136" customWidth="1"/>
    <col min="8198" max="8198" width="0" style="136" hidden="1" customWidth="1"/>
    <col min="8199" max="8199" width="11.7109375" style="136" customWidth="1"/>
    <col min="8200" max="8200" width="0" style="136" hidden="1" customWidth="1"/>
    <col min="8201" max="8201" width="11.7109375" style="136" customWidth="1"/>
    <col min="8202" max="8202" width="0" style="136" hidden="1" customWidth="1"/>
    <col min="8203" max="8203" width="11.5703125" style="136" customWidth="1"/>
    <col min="8204" max="8204" width="0" style="136" hidden="1" customWidth="1"/>
    <col min="8205" max="8205" width="11.5703125" style="136" customWidth="1"/>
    <col min="8206" max="8206" width="0" style="136" hidden="1" customWidth="1"/>
    <col min="8207" max="8207" width="11.5703125" style="136" customWidth="1"/>
    <col min="8208" max="8208" width="0" style="136" hidden="1" customWidth="1"/>
    <col min="8209" max="8209" width="11.5703125" style="136" customWidth="1"/>
    <col min="8210" max="8441" width="9.140625" style="136"/>
    <col min="8442" max="8447" width="0" style="136" hidden="1" customWidth="1"/>
    <col min="8448" max="8448" width="6.5703125" style="136" bestFit="1" customWidth="1"/>
    <col min="8449" max="8449" width="66.28515625" style="136" customWidth="1"/>
    <col min="8450" max="8450" width="0" style="136" hidden="1" customWidth="1"/>
    <col min="8451" max="8451" width="11.7109375" style="136" customWidth="1"/>
    <col min="8452" max="8452" width="0" style="136" hidden="1" customWidth="1"/>
    <col min="8453" max="8453" width="11.7109375" style="136" customWidth="1"/>
    <col min="8454" max="8454" width="0" style="136" hidden="1" customWidth="1"/>
    <col min="8455" max="8455" width="11.7109375" style="136" customWidth="1"/>
    <col min="8456" max="8456" width="0" style="136" hidden="1" customWidth="1"/>
    <col min="8457" max="8457" width="11.7109375" style="136" customWidth="1"/>
    <col min="8458" max="8458" width="0" style="136" hidden="1" customWidth="1"/>
    <col min="8459" max="8459" width="11.5703125" style="136" customWidth="1"/>
    <col min="8460" max="8460" width="0" style="136" hidden="1" customWidth="1"/>
    <col min="8461" max="8461" width="11.5703125" style="136" customWidth="1"/>
    <col min="8462" max="8462" width="0" style="136" hidden="1" customWidth="1"/>
    <col min="8463" max="8463" width="11.5703125" style="136" customWidth="1"/>
    <col min="8464" max="8464" width="0" style="136" hidden="1" customWidth="1"/>
    <col min="8465" max="8465" width="11.5703125" style="136" customWidth="1"/>
    <col min="8466" max="8697" width="9.140625" style="136"/>
    <col min="8698" max="8703" width="0" style="136" hidden="1" customWidth="1"/>
    <col min="8704" max="8704" width="6.5703125" style="136" bestFit="1" customWidth="1"/>
    <col min="8705" max="8705" width="66.28515625" style="136" customWidth="1"/>
    <col min="8706" max="8706" width="0" style="136" hidden="1" customWidth="1"/>
    <col min="8707" max="8707" width="11.7109375" style="136" customWidth="1"/>
    <col min="8708" max="8708" width="0" style="136" hidden="1" customWidth="1"/>
    <col min="8709" max="8709" width="11.7109375" style="136" customWidth="1"/>
    <col min="8710" max="8710" width="0" style="136" hidden="1" customWidth="1"/>
    <col min="8711" max="8711" width="11.7109375" style="136" customWidth="1"/>
    <col min="8712" max="8712" width="0" style="136" hidden="1" customWidth="1"/>
    <col min="8713" max="8713" width="11.7109375" style="136" customWidth="1"/>
    <col min="8714" max="8714" width="0" style="136" hidden="1" customWidth="1"/>
    <col min="8715" max="8715" width="11.5703125" style="136" customWidth="1"/>
    <col min="8716" max="8716" width="0" style="136" hidden="1" customWidth="1"/>
    <col min="8717" max="8717" width="11.5703125" style="136" customWidth="1"/>
    <col min="8718" max="8718" width="0" style="136" hidden="1" customWidth="1"/>
    <col min="8719" max="8719" width="11.5703125" style="136" customWidth="1"/>
    <col min="8720" max="8720" width="0" style="136" hidden="1" customWidth="1"/>
    <col min="8721" max="8721" width="11.5703125" style="136" customWidth="1"/>
    <col min="8722" max="8953" width="9.140625" style="136"/>
    <col min="8954" max="8959" width="0" style="136" hidden="1" customWidth="1"/>
    <col min="8960" max="8960" width="6.5703125" style="136" bestFit="1" customWidth="1"/>
    <col min="8961" max="8961" width="66.28515625" style="136" customWidth="1"/>
    <col min="8962" max="8962" width="0" style="136" hidden="1" customWidth="1"/>
    <col min="8963" max="8963" width="11.7109375" style="136" customWidth="1"/>
    <col min="8964" max="8964" width="0" style="136" hidden="1" customWidth="1"/>
    <col min="8965" max="8965" width="11.7109375" style="136" customWidth="1"/>
    <col min="8966" max="8966" width="0" style="136" hidden="1" customWidth="1"/>
    <col min="8967" max="8967" width="11.7109375" style="136" customWidth="1"/>
    <col min="8968" max="8968" width="0" style="136" hidden="1" customWidth="1"/>
    <col min="8969" max="8969" width="11.7109375" style="136" customWidth="1"/>
    <col min="8970" max="8970" width="0" style="136" hidden="1" customWidth="1"/>
    <col min="8971" max="8971" width="11.5703125" style="136" customWidth="1"/>
    <col min="8972" max="8972" width="0" style="136" hidden="1" customWidth="1"/>
    <col min="8973" max="8973" width="11.5703125" style="136" customWidth="1"/>
    <col min="8974" max="8974" width="0" style="136" hidden="1" customWidth="1"/>
    <col min="8975" max="8975" width="11.5703125" style="136" customWidth="1"/>
    <col min="8976" max="8976" width="0" style="136" hidden="1" customWidth="1"/>
    <col min="8977" max="8977" width="11.5703125" style="136" customWidth="1"/>
    <col min="8978" max="9209" width="9.140625" style="136"/>
    <col min="9210" max="9215" width="0" style="136" hidden="1" customWidth="1"/>
    <col min="9216" max="9216" width="6.5703125" style="136" bestFit="1" customWidth="1"/>
    <col min="9217" max="9217" width="66.28515625" style="136" customWidth="1"/>
    <col min="9218" max="9218" width="0" style="136" hidden="1" customWidth="1"/>
    <col min="9219" max="9219" width="11.7109375" style="136" customWidth="1"/>
    <col min="9220" max="9220" width="0" style="136" hidden="1" customWidth="1"/>
    <col min="9221" max="9221" width="11.7109375" style="136" customWidth="1"/>
    <col min="9222" max="9222" width="0" style="136" hidden="1" customWidth="1"/>
    <col min="9223" max="9223" width="11.7109375" style="136" customWidth="1"/>
    <col min="9224" max="9224" width="0" style="136" hidden="1" customWidth="1"/>
    <col min="9225" max="9225" width="11.7109375" style="136" customWidth="1"/>
    <col min="9226" max="9226" width="0" style="136" hidden="1" customWidth="1"/>
    <col min="9227" max="9227" width="11.5703125" style="136" customWidth="1"/>
    <col min="9228" max="9228" width="0" style="136" hidden="1" customWidth="1"/>
    <col min="9229" max="9229" width="11.5703125" style="136" customWidth="1"/>
    <col min="9230" max="9230" width="0" style="136" hidden="1" customWidth="1"/>
    <col min="9231" max="9231" width="11.5703125" style="136" customWidth="1"/>
    <col min="9232" max="9232" width="0" style="136" hidden="1" customWidth="1"/>
    <col min="9233" max="9233" width="11.5703125" style="136" customWidth="1"/>
    <col min="9234" max="9465" width="9.140625" style="136"/>
    <col min="9466" max="9471" width="0" style="136" hidden="1" customWidth="1"/>
    <col min="9472" max="9472" width="6.5703125" style="136" bestFit="1" customWidth="1"/>
    <col min="9473" max="9473" width="66.28515625" style="136" customWidth="1"/>
    <col min="9474" max="9474" width="0" style="136" hidden="1" customWidth="1"/>
    <col min="9475" max="9475" width="11.7109375" style="136" customWidth="1"/>
    <col min="9476" max="9476" width="0" style="136" hidden="1" customWidth="1"/>
    <col min="9477" max="9477" width="11.7109375" style="136" customWidth="1"/>
    <col min="9478" max="9478" width="0" style="136" hidden="1" customWidth="1"/>
    <col min="9479" max="9479" width="11.7109375" style="136" customWidth="1"/>
    <col min="9480" max="9480" width="0" style="136" hidden="1" customWidth="1"/>
    <col min="9481" max="9481" width="11.7109375" style="136" customWidth="1"/>
    <col min="9482" max="9482" width="0" style="136" hidden="1" customWidth="1"/>
    <col min="9483" max="9483" width="11.5703125" style="136" customWidth="1"/>
    <col min="9484" max="9484" width="0" style="136" hidden="1" customWidth="1"/>
    <col min="9485" max="9485" width="11.5703125" style="136" customWidth="1"/>
    <col min="9486" max="9486" width="0" style="136" hidden="1" customWidth="1"/>
    <col min="9487" max="9487" width="11.5703125" style="136" customWidth="1"/>
    <col min="9488" max="9488" width="0" style="136" hidden="1" customWidth="1"/>
    <col min="9489" max="9489" width="11.5703125" style="136" customWidth="1"/>
    <col min="9490" max="9721" width="9.140625" style="136"/>
    <col min="9722" max="9727" width="0" style="136" hidden="1" customWidth="1"/>
    <col min="9728" max="9728" width="6.5703125" style="136" bestFit="1" customWidth="1"/>
    <col min="9729" max="9729" width="66.28515625" style="136" customWidth="1"/>
    <col min="9730" max="9730" width="0" style="136" hidden="1" customWidth="1"/>
    <col min="9731" max="9731" width="11.7109375" style="136" customWidth="1"/>
    <col min="9732" max="9732" width="0" style="136" hidden="1" customWidth="1"/>
    <col min="9733" max="9733" width="11.7109375" style="136" customWidth="1"/>
    <col min="9734" max="9734" width="0" style="136" hidden="1" customWidth="1"/>
    <col min="9735" max="9735" width="11.7109375" style="136" customWidth="1"/>
    <col min="9736" max="9736" width="0" style="136" hidden="1" customWidth="1"/>
    <col min="9737" max="9737" width="11.7109375" style="136" customWidth="1"/>
    <col min="9738" max="9738" width="0" style="136" hidden="1" customWidth="1"/>
    <col min="9739" max="9739" width="11.5703125" style="136" customWidth="1"/>
    <col min="9740" max="9740" width="0" style="136" hidden="1" customWidth="1"/>
    <col min="9741" max="9741" width="11.5703125" style="136" customWidth="1"/>
    <col min="9742" max="9742" width="0" style="136" hidden="1" customWidth="1"/>
    <col min="9743" max="9743" width="11.5703125" style="136" customWidth="1"/>
    <col min="9744" max="9744" width="0" style="136" hidden="1" customWidth="1"/>
    <col min="9745" max="9745" width="11.5703125" style="136" customWidth="1"/>
    <col min="9746" max="9977" width="9.140625" style="136"/>
    <col min="9978" max="9983" width="0" style="136" hidden="1" customWidth="1"/>
    <col min="9984" max="9984" width="6.5703125" style="136" bestFit="1" customWidth="1"/>
    <col min="9985" max="9985" width="66.28515625" style="136" customWidth="1"/>
    <col min="9986" max="9986" width="0" style="136" hidden="1" customWidth="1"/>
    <col min="9987" max="9987" width="11.7109375" style="136" customWidth="1"/>
    <col min="9988" max="9988" width="0" style="136" hidden="1" customWidth="1"/>
    <col min="9989" max="9989" width="11.7109375" style="136" customWidth="1"/>
    <col min="9990" max="9990" width="0" style="136" hidden="1" customWidth="1"/>
    <col min="9991" max="9991" width="11.7109375" style="136" customWidth="1"/>
    <col min="9992" max="9992" width="0" style="136" hidden="1" customWidth="1"/>
    <col min="9993" max="9993" width="11.7109375" style="136" customWidth="1"/>
    <col min="9994" max="9994" width="0" style="136" hidden="1" customWidth="1"/>
    <col min="9995" max="9995" width="11.5703125" style="136" customWidth="1"/>
    <col min="9996" max="9996" width="0" style="136" hidden="1" customWidth="1"/>
    <col min="9997" max="9997" width="11.5703125" style="136" customWidth="1"/>
    <col min="9998" max="9998" width="0" style="136" hidden="1" customWidth="1"/>
    <col min="9999" max="9999" width="11.5703125" style="136" customWidth="1"/>
    <col min="10000" max="10000" width="0" style="136" hidden="1" customWidth="1"/>
    <col min="10001" max="10001" width="11.5703125" style="136" customWidth="1"/>
    <col min="10002" max="10233" width="9.140625" style="136"/>
    <col min="10234" max="10239" width="0" style="136" hidden="1" customWidth="1"/>
    <col min="10240" max="10240" width="6.5703125" style="136" bestFit="1" customWidth="1"/>
    <col min="10241" max="10241" width="66.28515625" style="136" customWidth="1"/>
    <col min="10242" max="10242" width="0" style="136" hidden="1" customWidth="1"/>
    <col min="10243" max="10243" width="11.7109375" style="136" customWidth="1"/>
    <col min="10244" max="10244" width="0" style="136" hidden="1" customWidth="1"/>
    <col min="10245" max="10245" width="11.7109375" style="136" customWidth="1"/>
    <col min="10246" max="10246" width="0" style="136" hidden="1" customWidth="1"/>
    <col min="10247" max="10247" width="11.7109375" style="136" customWidth="1"/>
    <col min="10248" max="10248" width="0" style="136" hidden="1" customWidth="1"/>
    <col min="10249" max="10249" width="11.7109375" style="136" customWidth="1"/>
    <col min="10250" max="10250" width="0" style="136" hidden="1" customWidth="1"/>
    <col min="10251" max="10251" width="11.5703125" style="136" customWidth="1"/>
    <col min="10252" max="10252" width="0" style="136" hidden="1" customWidth="1"/>
    <col min="10253" max="10253" width="11.5703125" style="136" customWidth="1"/>
    <col min="10254" max="10254" width="0" style="136" hidden="1" customWidth="1"/>
    <col min="10255" max="10255" width="11.5703125" style="136" customWidth="1"/>
    <col min="10256" max="10256" width="0" style="136" hidden="1" customWidth="1"/>
    <col min="10257" max="10257" width="11.5703125" style="136" customWidth="1"/>
    <col min="10258" max="10489" width="9.140625" style="136"/>
    <col min="10490" max="10495" width="0" style="136" hidden="1" customWidth="1"/>
    <col min="10496" max="10496" width="6.5703125" style="136" bestFit="1" customWidth="1"/>
    <col min="10497" max="10497" width="66.28515625" style="136" customWidth="1"/>
    <col min="10498" max="10498" width="0" style="136" hidden="1" customWidth="1"/>
    <col min="10499" max="10499" width="11.7109375" style="136" customWidth="1"/>
    <col min="10500" max="10500" width="0" style="136" hidden="1" customWidth="1"/>
    <col min="10501" max="10501" width="11.7109375" style="136" customWidth="1"/>
    <col min="10502" max="10502" width="0" style="136" hidden="1" customWidth="1"/>
    <col min="10503" max="10503" width="11.7109375" style="136" customWidth="1"/>
    <col min="10504" max="10504" width="0" style="136" hidden="1" customWidth="1"/>
    <col min="10505" max="10505" width="11.7109375" style="136" customWidth="1"/>
    <col min="10506" max="10506" width="0" style="136" hidden="1" customWidth="1"/>
    <col min="10507" max="10507" width="11.5703125" style="136" customWidth="1"/>
    <col min="10508" max="10508" width="0" style="136" hidden="1" customWidth="1"/>
    <col min="10509" max="10509" width="11.5703125" style="136" customWidth="1"/>
    <col min="10510" max="10510" width="0" style="136" hidden="1" customWidth="1"/>
    <col min="10511" max="10511" width="11.5703125" style="136" customWidth="1"/>
    <col min="10512" max="10512" width="0" style="136" hidden="1" customWidth="1"/>
    <col min="10513" max="10513" width="11.5703125" style="136" customWidth="1"/>
    <col min="10514" max="10745" width="9.140625" style="136"/>
    <col min="10746" max="10751" width="0" style="136" hidden="1" customWidth="1"/>
    <col min="10752" max="10752" width="6.5703125" style="136" bestFit="1" customWidth="1"/>
    <col min="10753" max="10753" width="66.28515625" style="136" customWidth="1"/>
    <col min="10754" max="10754" width="0" style="136" hidden="1" customWidth="1"/>
    <col min="10755" max="10755" width="11.7109375" style="136" customWidth="1"/>
    <col min="10756" max="10756" width="0" style="136" hidden="1" customWidth="1"/>
    <col min="10757" max="10757" width="11.7109375" style="136" customWidth="1"/>
    <col min="10758" max="10758" width="0" style="136" hidden="1" customWidth="1"/>
    <col min="10759" max="10759" width="11.7109375" style="136" customWidth="1"/>
    <col min="10760" max="10760" width="0" style="136" hidden="1" customWidth="1"/>
    <col min="10761" max="10761" width="11.7109375" style="136" customWidth="1"/>
    <col min="10762" max="10762" width="0" style="136" hidden="1" customWidth="1"/>
    <col min="10763" max="10763" width="11.5703125" style="136" customWidth="1"/>
    <col min="10764" max="10764" width="0" style="136" hidden="1" customWidth="1"/>
    <col min="10765" max="10765" width="11.5703125" style="136" customWidth="1"/>
    <col min="10766" max="10766" width="0" style="136" hidden="1" customWidth="1"/>
    <col min="10767" max="10767" width="11.5703125" style="136" customWidth="1"/>
    <col min="10768" max="10768" width="0" style="136" hidden="1" customWidth="1"/>
    <col min="10769" max="10769" width="11.5703125" style="136" customWidth="1"/>
    <col min="10770" max="11001" width="9.140625" style="136"/>
    <col min="11002" max="11007" width="0" style="136" hidden="1" customWidth="1"/>
    <col min="11008" max="11008" width="6.5703125" style="136" bestFit="1" customWidth="1"/>
    <col min="11009" max="11009" width="66.28515625" style="136" customWidth="1"/>
    <col min="11010" max="11010" width="0" style="136" hidden="1" customWidth="1"/>
    <col min="11011" max="11011" width="11.7109375" style="136" customWidth="1"/>
    <col min="11012" max="11012" width="0" style="136" hidden="1" customWidth="1"/>
    <col min="11013" max="11013" width="11.7109375" style="136" customWidth="1"/>
    <col min="11014" max="11014" width="0" style="136" hidden="1" customWidth="1"/>
    <col min="11015" max="11015" width="11.7109375" style="136" customWidth="1"/>
    <col min="11016" max="11016" width="0" style="136" hidden="1" customWidth="1"/>
    <col min="11017" max="11017" width="11.7109375" style="136" customWidth="1"/>
    <col min="11018" max="11018" width="0" style="136" hidden="1" customWidth="1"/>
    <col min="11019" max="11019" width="11.5703125" style="136" customWidth="1"/>
    <col min="11020" max="11020" width="0" style="136" hidden="1" customWidth="1"/>
    <col min="11021" max="11021" width="11.5703125" style="136" customWidth="1"/>
    <col min="11022" max="11022" width="0" style="136" hidden="1" customWidth="1"/>
    <col min="11023" max="11023" width="11.5703125" style="136" customWidth="1"/>
    <col min="11024" max="11024" width="0" style="136" hidden="1" customWidth="1"/>
    <col min="11025" max="11025" width="11.5703125" style="136" customWidth="1"/>
    <col min="11026" max="11257" width="9.140625" style="136"/>
    <col min="11258" max="11263" width="0" style="136" hidden="1" customWidth="1"/>
    <col min="11264" max="11264" width="6.5703125" style="136" bestFit="1" customWidth="1"/>
    <col min="11265" max="11265" width="66.28515625" style="136" customWidth="1"/>
    <col min="11266" max="11266" width="0" style="136" hidden="1" customWidth="1"/>
    <col min="11267" max="11267" width="11.7109375" style="136" customWidth="1"/>
    <col min="11268" max="11268" width="0" style="136" hidden="1" customWidth="1"/>
    <col min="11269" max="11269" width="11.7109375" style="136" customWidth="1"/>
    <col min="11270" max="11270" width="0" style="136" hidden="1" customWidth="1"/>
    <col min="11271" max="11271" width="11.7109375" style="136" customWidth="1"/>
    <col min="11272" max="11272" width="0" style="136" hidden="1" customWidth="1"/>
    <col min="11273" max="11273" width="11.7109375" style="136" customWidth="1"/>
    <col min="11274" max="11274" width="0" style="136" hidden="1" customWidth="1"/>
    <col min="11275" max="11275" width="11.5703125" style="136" customWidth="1"/>
    <col min="11276" max="11276" width="0" style="136" hidden="1" customWidth="1"/>
    <col min="11277" max="11277" width="11.5703125" style="136" customWidth="1"/>
    <col min="11278" max="11278" width="0" style="136" hidden="1" customWidth="1"/>
    <col min="11279" max="11279" width="11.5703125" style="136" customWidth="1"/>
    <col min="11280" max="11280" width="0" style="136" hidden="1" customWidth="1"/>
    <col min="11281" max="11281" width="11.5703125" style="136" customWidth="1"/>
    <col min="11282" max="11513" width="9.140625" style="136"/>
    <col min="11514" max="11519" width="0" style="136" hidden="1" customWidth="1"/>
    <col min="11520" max="11520" width="6.5703125" style="136" bestFit="1" customWidth="1"/>
    <col min="11521" max="11521" width="66.28515625" style="136" customWidth="1"/>
    <col min="11522" max="11522" width="0" style="136" hidden="1" customWidth="1"/>
    <col min="11523" max="11523" width="11.7109375" style="136" customWidth="1"/>
    <col min="11524" max="11524" width="0" style="136" hidden="1" customWidth="1"/>
    <col min="11525" max="11525" width="11.7109375" style="136" customWidth="1"/>
    <col min="11526" max="11526" width="0" style="136" hidden="1" customWidth="1"/>
    <col min="11527" max="11527" width="11.7109375" style="136" customWidth="1"/>
    <col min="11528" max="11528" width="0" style="136" hidden="1" customWidth="1"/>
    <col min="11529" max="11529" width="11.7109375" style="136" customWidth="1"/>
    <col min="11530" max="11530" width="0" style="136" hidden="1" customWidth="1"/>
    <col min="11531" max="11531" width="11.5703125" style="136" customWidth="1"/>
    <col min="11532" max="11532" width="0" style="136" hidden="1" customWidth="1"/>
    <col min="11533" max="11533" width="11.5703125" style="136" customWidth="1"/>
    <col min="11534" max="11534" width="0" style="136" hidden="1" customWidth="1"/>
    <col min="11535" max="11535" width="11.5703125" style="136" customWidth="1"/>
    <col min="11536" max="11536" width="0" style="136" hidden="1" customWidth="1"/>
    <col min="11537" max="11537" width="11.5703125" style="136" customWidth="1"/>
    <col min="11538" max="11769" width="9.140625" style="136"/>
    <col min="11770" max="11775" width="0" style="136" hidden="1" customWidth="1"/>
    <col min="11776" max="11776" width="6.5703125" style="136" bestFit="1" customWidth="1"/>
    <col min="11777" max="11777" width="66.28515625" style="136" customWidth="1"/>
    <col min="11778" max="11778" width="0" style="136" hidden="1" customWidth="1"/>
    <col min="11779" max="11779" width="11.7109375" style="136" customWidth="1"/>
    <col min="11780" max="11780" width="0" style="136" hidden="1" customWidth="1"/>
    <col min="11781" max="11781" width="11.7109375" style="136" customWidth="1"/>
    <col min="11782" max="11782" width="0" style="136" hidden="1" customWidth="1"/>
    <col min="11783" max="11783" width="11.7109375" style="136" customWidth="1"/>
    <col min="11784" max="11784" width="0" style="136" hidden="1" customWidth="1"/>
    <col min="11785" max="11785" width="11.7109375" style="136" customWidth="1"/>
    <col min="11786" max="11786" width="0" style="136" hidden="1" customWidth="1"/>
    <col min="11787" max="11787" width="11.5703125" style="136" customWidth="1"/>
    <col min="11788" max="11788" width="0" style="136" hidden="1" customWidth="1"/>
    <col min="11789" max="11789" width="11.5703125" style="136" customWidth="1"/>
    <col min="11790" max="11790" width="0" style="136" hidden="1" customWidth="1"/>
    <col min="11791" max="11791" width="11.5703125" style="136" customWidth="1"/>
    <col min="11792" max="11792" width="0" style="136" hidden="1" customWidth="1"/>
    <col min="11793" max="11793" width="11.5703125" style="136" customWidth="1"/>
    <col min="11794" max="12025" width="9.140625" style="136"/>
    <col min="12026" max="12031" width="0" style="136" hidden="1" customWidth="1"/>
    <col min="12032" max="12032" width="6.5703125" style="136" bestFit="1" customWidth="1"/>
    <col min="12033" max="12033" width="66.28515625" style="136" customWidth="1"/>
    <col min="12034" max="12034" width="0" style="136" hidden="1" customWidth="1"/>
    <col min="12035" max="12035" width="11.7109375" style="136" customWidth="1"/>
    <col min="12036" max="12036" width="0" style="136" hidden="1" customWidth="1"/>
    <col min="12037" max="12037" width="11.7109375" style="136" customWidth="1"/>
    <col min="12038" max="12038" width="0" style="136" hidden="1" customWidth="1"/>
    <col min="12039" max="12039" width="11.7109375" style="136" customWidth="1"/>
    <col min="12040" max="12040" width="0" style="136" hidden="1" customWidth="1"/>
    <col min="12041" max="12041" width="11.7109375" style="136" customWidth="1"/>
    <col min="12042" max="12042" width="0" style="136" hidden="1" customWidth="1"/>
    <col min="12043" max="12043" width="11.5703125" style="136" customWidth="1"/>
    <col min="12044" max="12044" width="0" style="136" hidden="1" customWidth="1"/>
    <col min="12045" max="12045" width="11.5703125" style="136" customWidth="1"/>
    <col min="12046" max="12046" width="0" style="136" hidden="1" customWidth="1"/>
    <col min="12047" max="12047" width="11.5703125" style="136" customWidth="1"/>
    <col min="12048" max="12048" width="0" style="136" hidden="1" customWidth="1"/>
    <col min="12049" max="12049" width="11.5703125" style="136" customWidth="1"/>
    <col min="12050" max="12281" width="9.140625" style="136"/>
    <col min="12282" max="12287" width="0" style="136" hidden="1" customWidth="1"/>
    <col min="12288" max="12288" width="6.5703125" style="136" bestFit="1" customWidth="1"/>
    <col min="12289" max="12289" width="66.28515625" style="136" customWidth="1"/>
    <col min="12290" max="12290" width="0" style="136" hidden="1" customWidth="1"/>
    <col min="12291" max="12291" width="11.7109375" style="136" customWidth="1"/>
    <col min="12292" max="12292" width="0" style="136" hidden="1" customWidth="1"/>
    <col min="12293" max="12293" width="11.7109375" style="136" customWidth="1"/>
    <col min="12294" max="12294" width="0" style="136" hidden="1" customWidth="1"/>
    <col min="12295" max="12295" width="11.7109375" style="136" customWidth="1"/>
    <col min="12296" max="12296" width="0" style="136" hidden="1" customWidth="1"/>
    <col min="12297" max="12297" width="11.7109375" style="136" customWidth="1"/>
    <col min="12298" max="12298" width="0" style="136" hidden="1" customWidth="1"/>
    <col min="12299" max="12299" width="11.5703125" style="136" customWidth="1"/>
    <col min="12300" max="12300" width="0" style="136" hidden="1" customWidth="1"/>
    <col min="12301" max="12301" width="11.5703125" style="136" customWidth="1"/>
    <col min="12302" max="12302" width="0" style="136" hidden="1" customWidth="1"/>
    <col min="12303" max="12303" width="11.5703125" style="136" customWidth="1"/>
    <col min="12304" max="12304" width="0" style="136" hidden="1" customWidth="1"/>
    <col min="12305" max="12305" width="11.5703125" style="136" customWidth="1"/>
    <col min="12306" max="12537" width="9.140625" style="136"/>
    <col min="12538" max="12543" width="0" style="136" hidden="1" customWidth="1"/>
    <col min="12544" max="12544" width="6.5703125" style="136" bestFit="1" customWidth="1"/>
    <col min="12545" max="12545" width="66.28515625" style="136" customWidth="1"/>
    <col min="12546" max="12546" width="0" style="136" hidden="1" customWidth="1"/>
    <col min="12547" max="12547" width="11.7109375" style="136" customWidth="1"/>
    <col min="12548" max="12548" width="0" style="136" hidden="1" customWidth="1"/>
    <col min="12549" max="12549" width="11.7109375" style="136" customWidth="1"/>
    <col min="12550" max="12550" width="0" style="136" hidden="1" customWidth="1"/>
    <col min="12551" max="12551" width="11.7109375" style="136" customWidth="1"/>
    <col min="12552" max="12552" width="0" style="136" hidden="1" customWidth="1"/>
    <col min="12553" max="12553" width="11.7109375" style="136" customWidth="1"/>
    <col min="12554" max="12554" width="0" style="136" hidden="1" customWidth="1"/>
    <col min="12555" max="12555" width="11.5703125" style="136" customWidth="1"/>
    <col min="12556" max="12556" width="0" style="136" hidden="1" customWidth="1"/>
    <col min="12557" max="12557" width="11.5703125" style="136" customWidth="1"/>
    <col min="12558" max="12558" width="0" style="136" hidden="1" customWidth="1"/>
    <col min="12559" max="12559" width="11.5703125" style="136" customWidth="1"/>
    <col min="12560" max="12560" width="0" style="136" hidden="1" customWidth="1"/>
    <col min="12561" max="12561" width="11.5703125" style="136" customWidth="1"/>
    <col min="12562" max="12793" width="9.140625" style="136"/>
    <col min="12794" max="12799" width="0" style="136" hidden="1" customWidth="1"/>
    <col min="12800" max="12800" width="6.5703125" style="136" bestFit="1" customWidth="1"/>
    <col min="12801" max="12801" width="66.28515625" style="136" customWidth="1"/>
    <col min="12802" max="12802" width="0" style="136" hidden="1" customWidth="1"/>
    <col min="12803" max="12803" width="11.7109375" style="136" customWidth="1"/>
    <col min="12804" max="12804" width="0" style="136" hidden="1" customWidth="1"/>
    <col min="12805" max="12805" width="11.7109375" style="136" customWidth="1"/>
    <col min="12806" max="12806" width="0" style="136" hidden="1" customWidth="1"/>
    <col min="12807" max="12807" width="11.7109375" style="136" customWidth="1"/>
    <col min="12808" max="12808" width="0" style="136" hidden="1" customWidth="1"/>
    <col min="12809" max="12809" width="11.7109375" style="136" customWidth="1"/>
    <col min="12810" max="12810" width="0" style="136" hidden="1" customWidth="1"/>
    <col min="12811" max="12811" width="11.5703125" style="136" customWidth="1"/>
    <col min="12812" max="12812" width="0" style="136" hidden="1" customWidth="1"/>
    <col min="12813" max="12813" width="11.5703125" style="136" customWidth="1"/>
    <col min="12814" max="12814" width="0" style="136" hidden="1" customWidth="1"/>
    <col min="12815" max="12815" width="11.5703125" style="136" customWidth="1"/>
    <col min="12816" max="12816" width="0" style="136" hidden="1" customWidth="1"/>
    <col min="12817" max="12817" width="11.5703125" style="136" customWidth="1"/>
    <col min="12818" max="13049" width="9.140625" style="136"/>
    <col min="13050" max="13055" width="0" style="136" hidden="1" customWidth="1"/>
    <col min="13056" max="13056" width="6.5703125" style="136" bestFit="1" customWidth="1"/>
    <col min="13057" max="13057" width="66.28515625" style="136" customWidth="1"/>
    <col min="13058" max="13058" width="0" style="136" hidden="1" customWidth="1"/>
    <col min="13059" max="13059" width="11.7109375" style="136" customWidth="1"/>
    <col min="13060" max="13060" width="0" style="136" hidden="1" customWidth="1"/>
    <col min="13061" max="13061" width="11.7109375" style="136" customWidth="1"/>
    <col min="13062" max="13062" width="0" style="136" hidden="1" customWidth="1"/>
    <col min="13063" max="13063" width="11.7109375" style="136" customWidth="1"/>
    <col min="13064" max="13064" width="0" style="136" hidden="1" customWidth="1"/>
    <col min="13065" max="13065" width="11.7109375" style="136" customWidth="1"/>
    <col min="13066" max="13066" width="0" style="136" hidden="1" customWidth="1"/>
    <col min="13067" max="13067" width="11.5703125" style="136" customWidth="1"/>
    <col min="13068" max="13068" width="0" style="136" hidden="1" customWidth="1"/>
    <col min="13069" max="13069" width="11.5703125" style="136" customWidth="1"/>
    <col min="13070" max="13070" width="0" style="136" hidden="1" customWidth="1"/>
    <col min="13071" max="13071" width="11.5703125" style="136" customWidth="1"/>
    <col min="13072" max="13072" width="0" style="136" hidden="1" customWidth="1"/>
    <col min="13073" max="13073" width="11.5703125" style="136" customWidth="1"/>
    <col min="13074" max="13305" width="9.140625" style="136"/>
    <col min="13306" max="13311" width="0" style="136" hidden="1" customWidth="1"/>
    <col min="13312" max="13312" width="6.5703125" style="136" bestFit="1" customWidth="1"/>
    <col min="13313" max="13313" width="66.28515625" style="136" customWidth="1"/>
    <col min="13314" max="13314" width="0" style="136" hidden="1" customWidth="1"/>
    <col min="13315" max="13315" width="11.7109375" style="136" customWidth="1"/>
    <col min="13316" max="13316" width="0" style="136" hidden="1" customWidth="1"/>
    <col min="13317" max="13317" width="11.7109375" style="136" customWidth="1"/>
    <col min="13318" max="13318" width="0" style="136" hidden="1" customWidth="1"/>
    <col min="13319" max="13319" width="11.7109375" style="136" customWidth="1"/>
    <col min="13320" max="13320" width="0" style="136" hidden="1" customWidth="1"/>
    <col min="13321" max="13321" width="11.7109375" style="136" customWidth="1"/>
    <col min="13322" max="13322" width="0" style="136" hidden="1" customWidth="1"/>
    <col min="13323" max="13323" width="11.5703125" style="136" customWidth="1"/>
    <col min="13324" max="13324" width="0" style="136" hidden="1" customWidth="1"/>
    <col min="13325" max="13325" width="11.5703125" style="136" customWidth="1"/>
    <col min="13326" max="13326" width="0" style="136" hidden="1" customWidth="1"/>
    <col min="13327" max="13327" width="11.5703125" style="136" customWidth="1"/>
    <col min="13328" max="13328" width="0" style="136" hidden="1" customWidth="1"/>
    <col min="13329" max="13329" width="11.5703125" style="136" customWidth="1"/>
    <col min="13330" max="13561" width="9.140625" style="136"/>
    <col min="13562" max="13567" width="0" style="136" hidden="1" customWidth="1"/>
    <col min="13568" max="13568" width="6.5703125" style="136" bestFit="1" customWidth="1"/>
    <col min="13569" max="13569" width="66.28515625" style="136" customWidth="1"/>
    <col min="13570" max="13570" width="0" style="136" hidden="1" customWidth="1"/>
    <col min="13571" max="13571" width="11.7109375" style="136" customWidth="1"/>
    <col min="13572" max="13572" width="0" style="136" hidden="1" customWidth="1"/>
    <col min="13573" max="13573" width="11.7109375" style="136" customWidth="1"/>
    <col min="13574" max="13574" width="0" style="136" hidden="1" customWidth="1"/>
    <col min="13575" max="13575" width="11.7109375" style="136" customWidth="1"/>
    <col min="13576" max="13576" width="0" style="136" hidden="1" customWidth="1"/>
    <col min="13577" max="13577" width="11.7109375" style="136" customWidth="1"/>
    <col min="13578" max="13578" width="0" style="136" hidden="1" customWidth="1"/>
    <col min="13579" max="13579" width="11.5703125" style="136" customWidth="1"/>
    <col min="13580" max="13580" width="0" style="136" hidden="1" customWidth="1"/>
    <col min="13581" max="13581" width="11.5703125" style="136" customWidth="1"/>
    <col min="13582" max="13582" width="0" style="136" hidden="1" customWidth="1"/>
    <col min="13583" max="13583" width="11.5703125" style="136" customWidth="1"/>
    <col min="13584" max="13584" width="0" style="136" hidden="1" customWidth="1"/>
    <col min="13585" max="13585" width="11.5703125" style="136" customWidth="1"/>
    <col min="13586" max="13817" width="9.140625" style="136"/>
    <col min="13818" max="13823" width="0" style="136" hidden="1" customWidth="1"/>
    <col min="13824" max="13824" width="6.5703125" style="136" bestFit="1" customWidth="1"/>
    <col min="13825" max="13825" width="66.28515625" style="136" customWidth="1"/>
    <col min="13826" max="13826" width="0" style="136" hidden="1" customWidth="1"/>
    <col min="13827" max="13827" width="11.7109375" style="136" customWidth="1"/>
    <col min="13828" max="13828" width="0" style="136" hidden="1" customWidth="1"/>
    <col min="13829" max="13829" width="11.7109375" style="136" customWidth="1"/>
    <col min="13830" max="13830" width="0" style="136" hidden="1" customWidth="1"/>
    <col min="13831" max="13831" width="11.7109375" style="136" customWidth="1"/>
    <col min="13832" max="13832" width="0" style="136" hidden="1" customWidth="1"/>
    <col min="13833" max="13833" width="11.7109375" style="136" customWidth="1"/>
    <col min="13834" max="13834" width="0" style="136" hidden="1" customWidth="1"/>
    <col min="13835" max="13835" width="11.5703125" style="136" customWidth="1"/>
    <col min="13836" max="13836" width="0" style="136" hidden="1" customWidth="1"/>
    <col min="13837" max="13837" width="11.5703125" style="136" customWidth="1"/>
    <col min="13838" max="13838" width="0" style="136" hidden="1" customWidth="1"/>
    <col min="13839" max="13839" width="11.5703125" style="136" customWidth="1"/>
    <col min="13840" max="13840" width="0" style="136" hidden="1" customWidth="1"/>
    <col min="13841" max="13841" width="11.5703125" style="136" customWidth="1"/>
    <col min="13842" max="14073" width="9.140625" style="136"/>
    <col min="14074" max="14079" width="0" style="136" hidden="1" customWidth="1"/>
    <col min="14080" max="14080" width="6.5703125" style="136" bestFit="1" customWidth="1"/>
    <col min="14081" max="14081" width="66.28515625" style="136" customWidth="1"/>
    <col min="14082" max="14082" width="0" style="136" hidden="1" customWidth="1"/>
    <col min="14083" max="14083" width="11.7109375" style="136" customWidth="1"/>
    <col min="14084" max="14084" width="0" style="136" hidden="1" customWidth="1"/>
    <col min="14085" max="14085" width="11.7109375" style="136" customWidth="1"/>
    <col min="14086" max="14086" width="0" style="136" hidden="1" customWidth="1"/>
    <col min="14087" max="14087" width="11.7109375" style="136" customWidth="1"/>
    <col min="14088" max="14088" width="0" style="136" hidden="1" customWidth="1"/>
    <col min="14089" max="14089" width="11.7109375" style="136" customWidth="1"/>
    <col min="14090" max="14090" width="0" style="136" hidden="1" customWidth="1"/>
    <col min="14091" max="14091" width="11.5703125" style="136" customWidth="1"/>
    <col min="14092" max="14092" width="0" style="136" hidden="1" customWidth="1"/>
    <col min="14093" max="14093" width="11.5703125" style="136" customWidth="1"/>
    <col min="14094" max="14094" width="0" style="136" hidden="1" customWidth="1"/>
    <col min="14095" max="14095" width="11.5703125" style="136" customWidth="1"/>
    <col min="14096" max="14096" width="0" style="136" hidden="1" customWidth="1"/>
    <col min="14097" max="14097" width="11.5703125" style="136" customWidth="1"/>
    <col min="14098" max="14329" width="9.140625" style="136"/>
    <col min="14330" max="14335" width="0" style="136" hidden="1" customWidth="1"/>
    <col min="14336" max="14336" width="6.5703125" style="136" bestFit="1" customWidth="1"/>
    <col min="14337" max="14337" width="66.28515625" style="136" customWidth="1"/>
    <col min="14338" max="14338" width="0" style="136" hidden="1" customWidth="1"/>
    <col min="14339" max="14339" width="11.7109375" style="136" customWidth="1"/>
    <col min="14340" max="14340" width="0" style="136" hidden="1" customWidth="1"/>
    <col min="14341" max="14341" width="11.7109375" style="136" customWidth="1"/>
    <col min="14342" max="14342" width="0" style="136" hidden="1" customWidth="1"/>
    <col min="14343" max="14343" width="11.7109375" style="136" customWidth="1"/>
    <col min="14344" max="14344" width="0" style="136" hidden="1" customWidth="1"/>
    <col min="14345" max="14345" width="11.7109375" style="136" customWidth="1"/>
    <col min="14346" max="14346" width="0" style="136" hidden="1" customWidth="1"/>
    <col min="14347" max="14347" width="11.5703125" style="136" customWidth="1"/>
    <col min="14348" max="14348" width="0" style="136" hidden="1" customWidth="1"/>
    <col min="14349" max="14349" width="11.5703125" style="136" customWidth="1"/>
    <col min="14350" max="14350" width="0" style="136" hidden="1" customWidth="1"/>
    <col min="14351" max="14351" width="11.5703125" style="136" customWidth="1"/>
    <col min="14352" max="14352" width="0" style="136" hidden="1" customWidth="1"/>
    <col min="14353" max="14353" width="11.5703125" style="136" customWidth="1"/>
    <col min="14354" max="14585" width="9.140625" style="136"/>
    <col min="14586" max="14591" width="0" style="136" hidden="1" customWidth="1"/>
    <col min="14592" max="14592" width="6.5703125" style="136" bestFit="1" customWidth="1"/>
    <col min="14593" max="14593" width="66.28515625" style="136" customWidth="1"/>
    <col min="14594" max="14594" width="0" style="136" hidden="1" customWidth="1"/>
    <col min="14595" max="14595" width="11.7109375" style="136" customWidth="1"/>
    <col min="14596" max="14596" width="0" style="136" hidden="1" customWidth="1"/>
    <col min="14597" max="14597" width="11.7109375" style="136" customWidth="1"/>
    <col min="14598" max="14598" width="0" style="136" hidden="1" customWidth="1"/>
    <col min="14599" max="14599" width="11.7109375" style="136" customWidth="1"/>
    <col min="14600" max="14600" width="0" style="136" hidden="1" customWidth="1"/>
    <col min="14601" max="14601" width="11.7109375" style="136" customWidth="1"/>
    <col min="14602" max="14602" width="0" style="136" hidden="1" customWidth="1"/>
    <col min="14603" max="14603" width="11.5703125" style="136" customWidth="1"/>
    <col min="14604" max="14604" width="0" style="136" hidden="1" customWidth="1"/>
    <col min="14605" max="14605" width="11.5703125" style="136" customWidth="1"/>
    <col min="14606" max="14606" width="0" style="136" hidden="1" customWidth="1"/>
    <col min="14607" max="14607" width="11.5703125" style="136" customWidth="1"/>
    <col min="14608" max="14608" width="0" style="136" hidden="1" customWidth="1"/>
    <col min="14609" max="14609" width="11.5703125" style="136" customWidth="1"/>
    <col min="14610" max="14841" width="9.140625" style="136"/>
    <col min="14842" max="14847" width="0" style="136" hidden="1" customWidth="1"/>
    <col min="14848" max="14848" width="6.5703125" style="136" bestFit="1" customWidth="1"/>
    <col min="14849" max="14849" width="66.28515625" style="136" customWidth="1"/>
    <col min="14850" max="14850" width="0" style="136" hidden="1" customWidth="1"/>
    <col min="14851" max="14851" width="11.7109375" style="136" customWidth="1"/>
    <col min="14852" max="14852" width="0" style="136" hidden="1" customWidth="1"/>
    <col min="14853" max="14853" width="11.7109375" style="136" customWidth="1"/>
    <col min="14854" max="14854" width="0" style="136" hidden="1" customWidth="1"/>
    <col min="14855" max="14855" width="11.7109375" style="136" customWidth="1"/>
    <col min="14856" max="14856" width="0" style="136" hidden="1" customWidth="1"/>
    <col min="14857" max="14857" width="11.7109375" style="136" customWidth="1"/>
    <col min="14858" max="14858" width="0" style="136" hidden="1" customWidth="1"/>
    <col min="14859" max="14859" width="11.5703125" style="136" customWidth="1"/>
    <col min="14860" max="14860" width="0" style="136" hidden="1" customWidth="1"/>
    <col min="14861" max="14861" width="11.5703125" style="136" customWidth="1"/>
    <col min="14862" max="14862" width="0" style="136" hidden="1" customWidth="1"/>
    <col min="14863" max="14863" width="11.5703125" style="136" customWidth="1"/>
    <col min="14864" max="14864" width="0" style="136" hidden="1" customWidth="1"/>
    <col min="14865" max="14865" width="11.5703125" style="136" customWidth="1"/>
    <col min="14866" max="15097" width="9.140625" style="136"/>
    <col min="15098" max="15103" width="0" style="136" hidden="1" customWidth="1"/>
    <col min="15104" max="15104" width="6.5703125" style="136" bestFit="1" customWidth="1"/>
    <col min="15105" max="15105" width="66.28515625" style="136" customWidth="1"/>
    <col min="15106" max="15106" width="0" style="136" hidden="1" customWidth="1"/>
    <col min="15107" max="15107" width="11.7109375" style="136" customWidth="1"/>
    <col min="15108" max="15108" width="0" style="136" hidden="1" customWidth="1"/>
    <col min="15109" max="15109" width="11.7109375" style="136" customWidth="1"/>
    <col min="15110" max="15110" width="0" style="136" hidden="1" customWidth="1"/>
    <col min="15111" max="15111" width="11.7109375" style="136" customWidth="1"/>
    <col min="15112" max="15112" width="0" style="136" hidden="1" customWidth="1"/>
    <col min="15113" max="15113" width="11.7109375" style="136" customWidth="1"/>
    <col min="15114" max="15114" width="0" style="136" hidden="1" customWidth="1"/>
    <col min="15115" max="15115" width="11.5703125" style="136" customWidth="1"/>
    <col min="15116" max="15116" width="0" style="136" hidden="1" customWidth="1"/>
    <col min="15117" max="15117" width="11.5703125" style="136" customWidth="1"/>
    <col min="15118" max="15118" width="0" style="136" hidden="1" customWidth="1"/>
    <col min="15119" max="15119" width="11.5703125" style="136" customWidth="1"/>
    <col min="15120" max="15120" width="0" style="136" hidden="1" customWidth="1"/>
    <col min="15121" max="15121" width="11.5703125" style="136" customWidth="1"/>
    <col min="15122" max="15353" width="9.140625" style="136"/>
    <col min="15354" max="15359" width="0" style="136" hidden="1" customWidth="1"/>
    <col min="15360" max="15360" width="6.5703125" style="136" bestFit="1" customWidth="1"/>
    <col min="15361" max="15361" width="66.28515625" style="136" customWidth="1"/>
    <col min="15362" max="15362" width="0" style="136" hidden="1" customWidth="1"/>
    <col min="15363" max="15363" width="11.7109375" style="136" customWidth="1"/>
    <col min="15364" max="15364" width="0" style="136" hidden="1" customWidth="1"/>
    <col min="15365" max="15365" width="11.7109375" style="136" customWidth="1"/>
    <col min="15366" max="15366" width="0" style="136" hidden="1" customWidth="1"/>
    <col min="15367" max="15367" width="11.7109375" style="136" customWidth="1"/>
    <col min="15368" max="15368" width="0" style="136" hidden="1" customWidth="1"/>
    <col min="15369" max="15369" width="11.7109375" style="136" customWidth="1"/>
    <col min="15370" max="15370" width="0" style="136" hidden="1" customWidth="1"/>
    <col min="15371" max="15371" width="11.5703125" style="136" customWidth="1"/>
    <col min="15372" max="15372" width="0" style="136" hidden="1" customWidth="1"/>
    <col min="15373" max="15373" width="11.5703125" style="136" customWidth="1"/>
    <col min="15374" max="15374" width="0" style="136" hidden="1" customWidth="1"/>
    <col min="15375" max="15375" width="11.5703125" style="136" customWidth="1"/>
    <col min="15376" max="15376" width="0" style="136" hidden="1" customWidth="1"/>
    <col min="15377" max="15377" width="11.5703125" style="136" customWidth="1"/>
    <col min="15378" max="15609" width="9.140625" style="136"/>
    <col min="15610" max="15615" width="0" style="136" hidden="1" customWidth="1"/>
    <col min="15616" max="15616" width="6.5703125" style="136" bestFit="1" customWidth="1"/>
    <col min="15617" max="15617" width="66.28515625" style="136" customWidth="1"/>
    <col min="15618" max="15618" width="0" style="136" hidden="1" customWidth="1"/>
    <col min="15619" max="15619" width="11.7109375" style="136" customWidth="1"/>
    <col min="15620" max="15620" width="0" style="136" hidden="1" customWidth="1"/>
    <col min="15621" max="15621" width="11.7109375" style="136" customWidth="1"/>
    <col min="15622" max="15622" width="0" style="136" hidden="1" customWidth="1"/>
    <col min="15623" max="15623" width="11.7109375" style="136" customWidth="1"/>
    <col min="15624" max="15624" width="0" style="136" hidden="1" customWidth="1"/>
    <col min="15625" max="15625" width="11.7109375" style="136" customWidth="1"/>
    <col min="15626" max="15626" width="0" style="136" hidden="1" customWidth="1"/>
    <col min="15627" max="15627" width="11.5703125" style="136" customWidth="1"/>
    <col min="15628" max="15628" width="0" style="136" hidden="1" customWidth="1"/>
    <col min="15629" max="15629" width="11.5703125" style="136" customWidth="1"/>
    <col min="15630" max="15630" width="0" style="136" hidden="1" customWidth="1"/>
    <col min="15631" max="15631" width="11.5703125" style="136" customWidth="1"/>
    <col min="15632" max="15632" width="0" style="136" hidden="1" customWidth="1"/>
    <col min="15633" max="15633" width="11.5703125" style="136" customWidth="1"/>
    <col min="15634" max="15865" width="9.140625" style="136"/>
    <col min="15866" max="15871" width="0" style="136" hidden="1" customWidth="1"/>
    <col min="15872" max="15872" width="6.5703125" style="136" bestFit="1" customWidth="1"/>
    <col min="15873" max="15873" width="66.28515625" style="136" customWidth="1"/>
    <col min="15874" max="15874" width="0" style="136" hidden="1" customWidth="1"/>
    <col min="15875" max="15875" width="11.7109375" style="136" customWidth="1"/>
    <col min="15876" max="15876" width="0" style="136" hidden="1" customWidth="1"/>
    <col min="15877" max="15877" width="11.7109375" style="136" customWidth="1"/>
    <col min="15878" max="15878" width="0" style="136" hidden="1" customWidth="1"/>
    <col min="15879" max="15879" width="11.7109375" style="136" customWidth="1"/>
    <col min="15880" max="15880" width="0" style="136" hidden="1" customWidth="1"/>
    <col min="15881" max="15881" width="11.7109375" style="136" customWidth="1"/>
    <col min="15882" max="15882" width="0" style="136" hidden="1" customWidth="1"/>
    <col min="15883" max="15883" width="11.5703125" style="136" customWidth="1"/>
    <col min="15884" max="15884" width="0" style="136" hidden="1" customWidth="1"/>
    <col min="15885" max="15885" width="11.5703125" style="136" customWidth="1"/>
    <col min="15886" max="15886" width="0" style="136" hidden="1" customWidth="1"/>
    <col min="15887" max="15887" width="11.5703125" style="136" customWidth="1"/>
    <col min="15888" max="15888" width="0" style="136" hidden="1" customWidth="1"/>
    <col min="15889" max="15889" width="11.5703125" style="136" customWidth="1"/>
    <col min="15890" max="16121" width="9.140625" style="136"/>
    <col min="16122" max="16127" width="0" style="136" hidden="1" customWidth="1"/>
    <col min="16128" max="16128" width="6.5703125" style="136" bestFit="1" customWidth="1"/>
    <col min="16129" max="16129" width="66.28515625" style="136" customWidth="1"/>
    <col min="16130" max="16130" width="0" style="136" hidden="1" customWidth="1"/>
    <col min="16131" max="16131" width="11.7109375" style="136" customWidth="1"/>
    <col min="16132" max="16132" width="0" style="136" hidden="1" customWidth="1"/>
    <col min="16133" max="16133" width="11.7109375" style="136" customWidth="1"/>
    <col min="16134" max="16134" width="0" style="136" hidden="1" customWidth="1"/>
    <col min="16135" max="16135" width="11.7109375" style="136" customWidth="1"/>
    <col min="16136" max="16136" width="0" style="136" hidden="1" customWidth="1"/>
    <col min="16137" max="16137" width="11.7109375" style="136" customWidth="1"/>
    <col min="16138" max="16138" width="0" style="136" hidden="1" customWidth="1"/>
    <col min="16139" max="16139" width="11.5703125" style="136" customWidth="1"/>
    <col min="16140" max="16140" width="0" style="136" hidden="1" customWidth="1"/>
    <col min="16141" max="16141" width="11.5703125" style="136" customWidth="1"/>
    <col min="16142" max="16142" width="0" style="136" hidden="1" customWidth="1"/>
    <col min="16143" max="16143" width="11.5703125" style="136" customWidth="1"/>
    <col min="16144" max="16144" width="0" style="136" hidden="1" customWidth="1"/>
    <col min="16145" max="16145" width="11.5703125" style="136" customWidth="1"/>
    <col min="16146" max="16384" width="9.140625" style="136"/>
  </cols>
  <sheetData>
    <row r="1" spans="1:41" s="113" customFormat="1" ht="26.25" customHeight="1" x14ac:dyDescent="0.3">
      <c r="A1" s="278" t="s">
        <v>724</v>
      </c>
      <c r="B1" s="278"/>
      <c r="C1" s="278"/>
      <c r="D1" s="278"/>
      <c r="E1" s="278"/>
      <c r="F1" s="278"/>
      <c r="G1" s="278" t="s">
        <v>1102</v>
      </c>
      <c r="H1" s="278"/>
      <c r="I1" s="278"/>
      <c r="J1" s="278"/>
      <c r="K1" s="278"/>
      <c r="L1" s="278"/>
      <c r="M1" s="278"/>
      <c r="N1" s="278"/>
      <c r="O1" s="278"/>
      <c r="P1" s="278"/>
      <c r="Q1" s="112"/>
    </row>
    <row r="2" spans="1:41" s="116" customFormat="1" ht="21.75" customHeight="1" x14ac:dyDescent="0.25">
      <c r="A2" s="114" t="s">
        <v>0</v>
      </c>
      <c r="B2" s="114" t="s">
        <v>725</v>
      </c>
      <c r="C2" s="279" t="s">
        <v>2</v>
      </c>
      <c r="D2" s="279"/>
      <c r="E2" s="279"/>
      <c r="F2" s="279"/>
      <c r="G2" s="79"/>
      <c r="H2" s="281" t="s">
        <v>655</v>
      </c>
      <c r="I2" s="281"/>
      <c r="J2" s="281"/>
      <c r="K2" s="281"/>
      <c r="L2" s="281"/>
      <c r="M2" s="281"/>
      <c r="N2" s="281"/>
      <c r="O2" s="281"/>
      <c r="P2" s="281"/>
      <c r="Q2" s="115"/>
      <c r="AM2" s="280" t="s">
        <v>178</v>
      </c>
      <c r="AN2" s="280"/>
      <c r="AO2" s="280"/>
    </row>
    <row r="3" spans="1:41" s="113" customFormat="1" ht="18.75" customHeight="1" x14ac:dyDescent="0.3">
      <c r="A3" s="272" t="s">
        <v>726</v>
      </c>
      <c r="B3" s="273"/>
      <c r="C3" s="273"/>
      <c r="D3" s="273"/>
      <c r="E3" s="273"/>
      <c r="F3" s="274"/>
      <c r="G3" s="275" t="s">
        <v>0</v>
      </c>
      <c r="H3" s="275" t="s">
        <v>1</v>
      </c>
      <c r="I3" s="153" t="s">
        <v>2</v>
      </c>
      <c r="J3" s="275" t="s">
        <v>946</v>
      </c>
      <c r="K3" s="275"/>
      <c r="L3" s="275"/>
      <c r="M3" s="275"/>
      <c r="N3" s="275"/>
      <c r="O3" s="121"/>
      <c r="P3" s="122"/>
      <c r="Q3" s="123" t="s">
        <v>2</v>
      </c>
      <c r="R3" s="124"/>
      <c r="S3" s="124"/>
      <c r="T3" s="124"/>
      <c r="U3" s="124"/>
      <c r="V3" s="124"/>
      <c r="W3" s="124"/>
      <c r="X3" s="124"/>
      <c r="Y3" s="124"/>
      <c r="Z3" s="124"/>
      <c r="AA3" s="124"/>
      <c r="AB3" s="124"/>
      <c r="AC3" s="124"/>
      <c r="AD3" s="124"/>
      <c r="AE3" s="124"/>
      <c r="AF3" s="124"/>
      <c r="AG3" s="124"/>
      <c r="AH3" s="124"/>
      <c r="AI3" s="124"/>
      <c r="AJ3" s="124"/>
      <c r="AK3" s="124"/>
      <c r="AL3" s="276" t="s">
        <v>2</v>
      </c>
      <c r="AM3" s="276"/>
      <c r="AN3" s="276"/>
      <c r="AO3" s="276"/>
    </row>
    <row r="4" spans="1:41" s="113" customFormat="1" ht="30" hidden="1" customHeight="1" x14ac:dyDescent="0.3">
      <c r="A4" s="117"/>
      <c r="B4" s="118"/>
      <c r="C4" s="118"/>
      <c r="D4" s="118"/>
      <c r="E4" s="118"/>
      <c r="F4" s="119"/>
      <c r="G4" s="275"/>
      <c r="H4" s="275"/>
      <c r="I4" s="125"/>
      <c r="J4" s="83">
        <v>0.7</v>
      </c>
      <c r="K4" s="125"/>
      <c r="L4" s="83">
        <v>0.7</v>
      </c>
      <c r="M4" s="120"/>
      <c r="N4" s="83">
        <v>0.7</v>
      </c>
      <c r="O4" s="123"/>
      <c r="P4" s="59">
        <v>0.7</v>
      </c>
      <c r="Q4" s="126"/>
      <c r="R4" s="124"/>
      <c r="S4" s="124"/>
      <c r="T4" s="124"/>
      <c r="U4" s="124"/>
      <c r="V4" s="124"/>
      <c r="W4" s="124"/>
      <c r="X4" s="124"/>
      <c r="Y4" s="124"/>
      <c r="Z4" s="124"/>
      <c r="AA4" s="124"/>
      <c r="AB4" s="124"/>
      <c r="AC4" s="124"/>
      <c r="AD4" s="124"/>
      <c r="AE4" s="124"/>
      <c r="AF4" s="124"/>
      <c r="AG4" s="124"/>
      <c r="AH4" s="124"/>
      <c r="AI4" s="124"/>
      <c r="AJ4" s="124"/>
      <c r="AK4" s="124"/>
      <c r="AL4" s="123"/>
      <c r="AM4" s="123"/>
      <c r="AN4" s="123"/>
      <c r="AO4" s="123"/>
    </row>
    <row r="5" spans="1:41" s="113" customFormat="1" ht="19.5" customHeight="1" x14ac:dyDescent="0.3">
      <c r="A5" s="277" t="s">
        <v>727</v>
      </c>
      <c r="B5" s="277"/>
      <c r="C5" s="277"/>
      <c r="D5" s="277"/>
      <c r="E5" s="277"/>
      <c r="F5" s="277"/>
      <c r="G5" s="275"/>
      <c r="H5" s="275"/>
      <c r="I5" s="127" t="s">
        <v>3</v>
      </c>
      <c r="J5" s="128" t="s">
        <v>3</v>
      </c>
      <c r="K5" s="127" t="s">
        <v>4</v>
      </c>
      <c r="L5" s="128" t="s">
        <v>4</v>
      </c>
      <c r="M5" s="128" t="s">
        <v>5</v>
      </c>
      <c r="N5" s="128" t="s">
        <v>5</v>
      </c>
      <c r="O5" s="129" t="s">
        <v>6</v>
      </c>
      <c r="P5" s="129" t="s">
        <v>6</v>
      </c>
      <c r="Q5" s="130" t="s">
        <v>3</v>
      </c>
      <c r="R5" s="124"/>
      <c r="S5" s="124"/>
      <c r="T5" s="124"/>
      <c r="U5" s="124"/>
      <c r="V5" s="124"/>
      <c r="W5" s="124"/>
      <c r="X5" s="124"/>
      <c r="Y5" s="124"/>
      <c r="Z5" s="124"/>
      <c r="AA5" s="124"/>
      <c r="AB5" s="124"/>
      <c r="AC5" s="124"/>
      <c r="AD5" s="124"/>
      <c r="AE5" s="124"/>
      <c r="AF5" s="124"/>
      <c r="AG5" s="124"/>
      <c r="AH5" s="124"/>
      <c r="AI5" s="124"/>
      <c r="AJ5" s="124"/>
      <c r="AK5" s="124"/>
      <c r="AL5" s="129" t="s">
        <v>3</v>
      </c>
      <c r="AM5" s="129" t="s">
        <v>4</v>
      </c>
      <c r="AN5" s="129" t="s">
        <v>5</v>
      </c>
      <c r="AO5" s="129" t="s">
        <v>6</v>
      </c>
    </row>
    <row r="6" spans="1:41" ht="63" customHeight="1" x14ac:dyDescent="0.2">
      <c r="A6" s="131">
        <v>1</v>
      </c>
      <c r="B6" s="132" t="s">
        <v>261</v>
      </c>
      <c r="C6" s="133"/>
      <c r="D6" s="134"/>
      <c r="E6" s="134"/>
      <c r="F6" s="134"/>
      <c r="G6" s="131">
        <v>1</v>
      </c>
      <c r="H6" s="132" t="s">
        <v>261</v>
      </c>
      <c r="I6" s="135"/>
      <c r="J6" s="132"/>
      <c r="K6" s="135"/>
      <c r="L6" s="132"/>
      <c r="M6" s="132"/>
      <c r="N6" s="132"/>
      <c r="O6" s="132"/>
      <c r="P6" s="132"/>
      <c r="Q6" s="135"/>
    </row>
    <row r="7" spans="1:41" ht="93.75" customHeight="1" x14ac:dyDescent="0.2">
      <c r="A7" s="131" t="s">
        <v>8</v>
      </c>
      <c r="B7" s="137" t="s">
        <v>728</v>
      </c>
      <c r="C7" s="133">
        <v>3500</v>
      </c>
      <c r="D7" s="133">
        <v>1500</v>
      </c>
      <c r="E7" s="133">
        <v>800</v>
      </c>
      <c r="F7" s="133">
        <v>550</v>
      </c>
      <c r="G7" s="131" t="s">
        <v>8</v>
      </c>
      <c r="H7" s="137" t="s">
        <v>262</v>
      </c>
      <c r="I7" s="133">
        <v>4570</v>
      </c>
      <c r="J7" s="44">
        <f>I7*$J$4</f>
        <v>3199</v>
      </c>
      <c r="K7" s="133">
        <v>1958.702</v>
      </c>
      <c r="L7" s="44">
        <f>K7*$L$4</f>
        <v>1371.0914</v>
      </c>
      <c r="M7" s="137">
        <v>1044.702</v>
      </c>
      <c r="N7" s="44">
        <f>M7*$N$4</f>
        <v>731.29139999999995</v>
      </c>
      <c r="O7" s="137">
        <v>717.94700000000012</v>
      </c>
      <c r="P7" s="44">
        <f>O7*$P$4</f>
        <v>502.56290000000007</v>
      </c>
      <c r="Q7" s="133">
        <v>4570</v>
      </c>
    </row>
    <row r="8" spans="1:41" ht="88.5" customHeight="1" x14ac:dyDescent="0.2">
      <c r="A8" s="131"/>
      <c r="B8" s="137"/>
      <c r="C8" s="133"/>
      <c r="D8" s="133"/>
      <c r="E8" s="133"/>
      <c r="F8" s="133"/>
      <c r="G8" s="131" t="s">
        <v>9</v>
      </c>
      <c r="H8" s="137" t="s">
        <v>1040</v>
      </c>
      <c r="I8" s="133">
        <v>6646</v>
      </c>
      <c r="J8" s="44">
        <f t="shared" ref="J8:J44" si="0">I8*$J$4</f>
        <v>4652.2</v>
      </c>
      <c r="K8" s="133">
        <v>2848.4755999999998</v>
      </c>
      <c r="L8" s="44">
        <f t="shared" ref="L8:L44" si="1">K8*$L$4</f>
        <v>1993.9329199999997</v>
      </c>
      <c r="M8" s="137">
        <v>1519.2755999999999</v>
      </c>
      <c r="N8" s="44">
        <f t="shared" ref="N8:N44" si="2">M8*$N$4</f>
        <v>1063.4929199999999</v>
      </c>
      <c r="O8" s="137">
        <v>1044.0866000000001</v>
      </c>
      <c r="P8" s="44">
        <f t="shared" ref="P8:P44" si="3">O8*$P$4</f>
        <v>730.86062000000004</v>
      </c>
      <c r="Q8" s="133">
        <v>6646</v>
      </c>
    </row>
    <row r="9" spans="1:41" ht="93.75" customHeight="1" x14ac:dyDescent="0.2">
      <c r="A9" s="131"/>
      <c r="B9" s="137"/>
      <c r="C9" s="133"/>
      <c r="D9" s="133"/>
      <c r="E9" s="133"/>
      <c r="F9" s="133"/>
      <c r="G9" s="131" t="s">
        <v>82</v>
      </c>
      <c r="H9" s="137" t="s">
        <v>1041</v>
      </c>
      <c r="I9" s="133">
        <v>4570</v>
      </c>
      <c r="J9" s="44">
        <f t="shared" si="0"/>
        <v>3199</v>
      </c>
      <c r="K9" s="133">
        <v>1958.702</v>
      </c>
      <c r="L9" s="44">
        <f t="shared" si="1"/>
        <v>1371.0914</v>
      </c>
      <c r="M9" s="137">
        <v>1044.702</v>
      </c>
      <c r="N9" s="44">
        <f t="shared" si="2"/>
        <v>731.29139999999995</v>
      </c>
      <c r="O9" s="137">
        <v>717.94700000000012</v>
      </c>
      <c r="P9" s="44">
        <f t="shared" si="3"/>
        <v>502.56290000000007</v>
      </c>
      <c r="Q9" s="133">
        <v>4570</v>
      </c>
    </row>
    <row r="10" spans="1:41" ht="78.75" customHeight="1" x14ac:dyDescent="0.2">
      <c r="A10" s="131" t="s">
        <v>9</v>
      </c>
      <c r="B10" s="137" t="s">
        <v>729</v>
      </c>
      <c r="C10" s="133">
        <v>3000</v>
      </c>
      <c r="D10" s="133">
        <v>1300</v>
      </c>
      <c r="E10" s="133">
        <v>800</v>
      </c>
      <c r="F10" s="133">
        <v>550</v>
      </c>
      <c r="G10" s="131" t="s">
        <v>109</v>
      </c>
      <c r="H10" s="137" t="s">
        <v>1042</v>
      </c>
      <c r="I10" s="133">
        <v>3300.0000000000005</v>
      </c>
      <c r="J10" s="44">
        <f t="shared" si="0"/>
        <v>2310</v>
      </c>
      <c r="K10" s="133">
        <v>1430.0000000000002</v>
      </c>
      <c r="L10" s="44">
        <f t="shared" si="1"/>
        <v>1001.0000000000001</v>
      </c>
      <c r="M10" s="137">
        <v>880.00000000000011</v>
      </c>
      <c r="N10" s="44">
        <f t="shared" si="2"/>
        <v>616</v>
      </c>
      <c r="O10" s="137">
        <v>605</v>
      </c>
      <c r="P10" s="44">
        <f t="shared" si="3"/>
        <v>423.5</v>
      </c>
      <c r="Q10" s="133">
        <v>3300.0000000000005</v>
      </c>
    </row>
    <row r="11" spans="1:41" ht="102" customHeight="1" x14ac:dyDescent="0.2">
      <c r="A11" s="131" t="s">
        <v>82</v>
      </c>
      <c r="B11" s="137" t="s">
        <v>730</v>
      </c>
      <c r="C11" s="133">
        <v>2500</v>
      </c>
      <c r="D11" s="133">
        <v>1000</v>
      </c>
      <c r="E11" s="133">
        <v>700</v>
      </c>
      <c r="F11" s="133">
        <v>400</v>
      </c>
      <c r="G11" s="131" t="s">
        <v>111</v>
      </c>
      <c r="H11" s="137" t="s">
        <v>1043</v>
      </c>
      <c r="I11" s="133">
        <v>3086</v>
      </c>
      <c r="J11" s="44">
        <f t="shared" si="0"/>
        <v>2160.1999999999998</v>
      </c>
      <c r="K11" s="133">
        <v>1234.4000000000001</v>
      </c>
      <c r="L11" s="44">
        <f t="shared" si="1"/>
        <v>864.08</v>
      </c>
      <c r="M11" s="137">
        <v>864.08</v>
      </c>
      <c r="N11" s="44">
        <f t="shared" si="2"/>
        <v>604.85599999999999</v>
      </c>
      <c r="O11" s="137">
        <v>493.76</v>
      </c>
      <c r="P11" s="44">
        <f t="shared" si="3"/>
        <v>345.63199999999995</v>
      </c>
      <c r="Q11" s="133">
        <v>3086</v>
      </c>
    </row>
    <row r="12" spans="1:41" ht="62.25" customHeight="1" x14ac:dyDescent="0.2">
      <c r="A12" s="138" t="s">
        <v>109</v>
      </c>
      <c r="B12" s="139" t="s">
        <v>731</v>
      </c>
      <c r="C12" s="133">
        <v>1500</v>
      </c>
      <c r="D12" s="133">
        <v>800</v>
      </c>
      <c r="E12" s="133">
        <v>500</v>
      </c>
      <c r="F12" s="133">
        <v>300</v>
      </c>
      <c r="G12" s="138" t="s">
        <v>113</v>
      </c>
      <c r="H12" s="139" t="s">
        <v>1044</v>
      </c>
      <c r="I12" s="133">
        <v>1650.0000000000002</v>
      </c>
      <c r="J12" s="44">
        <f t="shared" si="0"/>
        <v>1155</v>
      </c>
      <c r="K12" s="135">
        <v>880.00000000000011</v>
      </c>
      <c r="L12" s="44">
        <f t="shared" si="1"/>
        <v>616</v>
      </c>
      <c r="M12" s="139">
        <v>550</v>
      </c>
      <c r="N12" s="44">
        <f t="shared" si="2"/>
        <v>385</v>
      </c>
      <c r="O12" s="139">
        <v>330</v>
      </c>
      <c r="P12" s="44">
        <f t="shared" si="3"/>
        <v>230.99999999999997</v>
      </c>
      <c r="Q12" s="133">
        <v>1650.0000000000002</v>
      </c>
    </row>
    <row r="13" spans="1:41" ht="31.5" customHeight="1" x14ac:dyDescent="0.2">
      <c r="A13" s="131" t="s">
        <v>111</v>
      </c>
      <c r="B13" s="137" t="s">
        <v>263</v>
      </c>
      <c r="C13" s="133">
        <v>800</v>
      </c>
      <c r="D13" s="133">
        <v>600</v>
      </c>
      <c r="E13" s="133">
        <v>500</v>
      </c>
      <c r="F13" s="133">
        <v>350</v>
      </c>
      <c r="G13" s="131" t="s">
        <v>116</v>
      </c>
      <c r="H13" s="137" t="s">
        <v>1045</v>
      </c>
      <c r="I13" s="133">
        <v>880.00000000000011</v>
      </c>
      <c r="J13" s="44">
        <f t="shared" si="0"/>
        <v>616</v>
      </c>
      <c r="K13" s="133">
        <v>660</v>
      </c>
      <c r="L13" s="44">
        <f t="shared" si="1"/>
        <v>461.99999999999994</v>
      </c>
      <c r="M13" s="137">
        <v>550</v>
      </c>
      <c r="N13" s="44">
        <f t="shared" si="2"/>
        <v>385</v>
      </c>
      <c r="O13" s="137">
        <v>385.00000000000006</v>
      </c>
      <c r="P13" s="44">
        <f t="shared" si="3"/>
        <v>269.5</v>
      </c>
      <c r="Q13" s="133">
        <v>880.00000000000011</v>
      </c>
    </row>
    <row r="14" spans="1:41" ht="51.75" customHeight="1" x14ac:dyDescent="0.2">
      <c r="A14" s="131">
        <v>2</v>
      </c>
      <c r="B14" s="137" t="s">
        <v>264</v>
      </c>
      <c r="C14" s="133"/>
      <c r="D14" s="133"/>
      <c r="E14" s="133"/>
      <c r="F14" s="133"/>
      <c r="G14" s="131">
        <v>2</v>
      </c>
      <c r="H14" s="137" t="s">
        <v>264</v>
      </c>
      <c r="I14" s="133"/>
      <c r="J14" s="44"/>
      <c r="K14" s="133"/>
      <c r="L14" s="44"/>
      <c r="M14" s="137"/>
      <c r="N14" s="44"/>
      <c r="O14" s="137"/>
      <c r="P14" s="44"/>
      <c r="Q14" s="133"/>
    </row>
    <row r="15" spans="1:41" ht="63.75" customHeight="1" x14ac:dyDescent="0.2">
      <c r="A15" s="131" t="s">
        <v>85</v>
      </c>
      <c r="B15" s="139" t="s">
        <v>265</v>
      </c>
      <c r="C15" s="133">
        <v>3500</v>
      </c>
      <c r="D15" s="133">
        <v>1500</v>
      </c>
      <c r="E15" s="133">
        <v>800</v>
      </c>
      <c r="F15" s="133">
        <v>550</v>
      </c>
      <c r="G15" s="131" t="s">
        <v>85</v>
      </c>
      <c r="H15" s="139" t="s">
        <v>1046</v>
      </c>
      <c r="I15" s="133">
        <v>3850.0000000000005</v>
      </c>
      <c r="J15" s="44">
        <f>4570*70%</f>
        <v>3199</v>
      </c>
      <c r="K15" s="135">
        <v>1958.702</v>
      </c>
      <c r="L15" s="44">
        <f>1959*70%</f>
        <v>1371.3</v>
      </c>
      <c r="M15" s="139">
        <v>717.94700000000012</v>
      </c>
      <c r="N15" s="44">
        <f>1045*70%</f>
        <v>731.5</v>
      </c>
      <c r="O15" s="139">
        <v>605</v>
      </c>
      <c r="P15" s="44">
        <f>718*70%</f>
        <v>502.59999999999997</v>
      </c>
      <c r="Q15" s="133">
        <v>3850.0000000000005</v>
      </c>
    </row>
    <row r="16" spans="1:41" ht="60" customHeight="1" x14ac:dyDescent="0.2">
      <c r="A16" s="131" t="s">
        <v>13</v>
      </c>
      <c r="B16" s="137" t="s">
        <v>732</v>
      </c>
      <c r="C16" s="133">
        <v>1800</v>
      </c>
      <c r="D16" s="133">
        <f>C16*50%</f>
        <v>900</v>
      </c>
      <c r="E16" s="133">
        <v>600</v>
      </c>
      <c r="F16" s="133">
        <f>C16*20%</f>
        <v>360</v>
      </c>
      <c r="G16" s="131" t="s">
        <v>13</v>
      </c>
      <c r="H16" s="137" t="s">
        <v>1047</v>
      </c>
      <c r="I16" s="133">
        <v>1980.0000000000002</v>
      </c>
      <c r="J16" s="44">
        <f t="shared" si="0"/>
        <v>1386</v>
      </c>
      <c r="K16" s="133">
        <v>990.00000000000011</v>
      </c>
      <c r="L16" s="44">
        <f t="shared" si="1"/>
        <v>693</v>
      </c>
      <c r="M16" s="137">
        <v>660</v>
      </c>
      <c r="N16" s="44">
        <f t="shared" si="2"/>
        <v>461.99999999999994</v>
      </c>
      <c r="O16" s="137">
        <v>396.00000000000006</v>
      </c>
      <c r="P16" s="44">
        <f t="shared" si="3"/>
        <v>277.20000000000005</v>
      </c>
      <c r="Q16" s="133">
        <v>1980.0000000000002</v>
      </c>
    </row>
    <row r="17" spans="1:17" ht="82.5" customHeight="1" x14ac:dyDescent="0.2">
      <c r="A17" s="131">
        <v>3</v>
      </c>
      <c r="B17" s="139" t="s">
        <v>733</v>
      </c>
      <c r="C17" s="133">
        <v>2000</v>
      </c>
      <c r="D17" s="133">
        <f>C17*50%</f>
        <v>1000</v>
      </c>
      <c r="E17" s="133">
        <f>C17*35%</f>
        <v>700</v>
      </c>
      <c r="F17" s="133">
        <f>C17*20%</f>
        <v>400</v>
      </c>
      <c r="G17" s="131">
        <v>3</v>
      </c>
      <c r="H17" s="139" t="s">
        <v>1061</v>
      </c>
      <c r="I17" s="133">
        <v>2200</v>
      </c>
      <c r="J17" s="44">
        <f t="shared" si="0"/>
        <v>1540</v>
      </c>
      <c r="K17" s="135">
        <v>1100</v>
      </c>
      <c r="L17" s="44">
        <f t="shared" si="1"/>
        <v>770</v>
      </c>
      <c r="M17" s="139">
        <v>770.00000000000011</v>
      </c>
      <c r="N17" s="44">
        <f t="shared" si="2"/>
        <v>539</v>
      </c>
      <c r="O17" s="139">
        <v>440.00000000000006</v>
      </c>
      <c r="P17" s="44">
        <f t="shared" si="3"/>
        <v>308</v>
      </c>
      <c r="Q17" s="133">
        <v>2200</v>
      </c>
    </row>
    <row r="18" spans="1:17" ht="75.75" customHeight="1" x14ac:dyDescent="0.2">
      <c r="A18" s="131">
        <v>4</v>
      </c>
      <c r="B18" s="137" t="s">
        <v>266</v>
      </c>
      <c r="C18" s="133"/>
      <c r="D18" s="133"/>
      <c r="E18" s="133"/>
      <c r="F18" s="133"/>
      <c r="G18" s="131">
        <v>4</v>
      </c>
      <c r="H18" s="137" t="s">
        <v>266</v>
      </c>
      <c r="I18" s="133"/>
      <c r="J18" s="44"/>
      <c r="K18" s="133"/>
      <c r="L18" s="44"/>
      <c r="M18" s="137"/>
      <c r="N18" s="44"/>
      <c r="O18" s="137"/>
      <c r="P18" s="44"/>
      <c r="Q18" s="133"/>
    </row>
    <row r="19" spans="1:17" ht="69.75" customHeight="1" x14ac:dyDescent="0.2">
      <c r="A19" s="131" t="s">
        <v>10</v>
      </c>
      <c r="B19" s="137" t="s">
        <v>734</v>
      </c>
      <c r="C19" s="133">
        <v>1800</v>
      </c>
      <c r="D19" s="133">
        <v>900</v>
      </c>
      <c r="E19" s="133">
        <v>600</v>
      </c>
      <c r="F19" s="133">
        <v>300</v>
      </c>
      <c r="G19" s="131" t="s">
        <v>10</v>
      </c>
      <c r="H19" s="137" t="s">
        <v>1048</v>
      </c>
      <c r="I19" s="133">
        <v>1980.0000000000002</v>
      </c>
      <c r="J19" s="44">
        <f t="shared" si="0"/>
        <v>1386</v>
      </c>
      <c r="K19" s="133">
        <v>990.00000000000011</v>
      </c>
      <c r="L19" s="44">
        <f t="shared" si="1"/>
        <v>693</v>
      </c>
      <c r="M19" s="137">
        <v>660</v>
      </c>
      <c r="N19" s="44">
        <f t="shared" si="2"/>
        <v>461.99999999999994</v>
      </c>
      <c r="O19" s="137">
        <v>330</v>
      </c>
      <c r="P19" s="44">
        <f t="shared" si="3"/>
        <v>230.99999999999997</v>
      </c>
      <c r="Q19" s="133">
        <v>1980.0000000000002</v>
      </c>
    </row>
    <row r="20" spans="1:17" ht="95.25" customHeight="1" x14ac:dyDescent="0.2">
      <c r="A20" s="131" t="s">
        <v>11</v>
      </c>
      <c r="B20" s="137" t="s">
        <v>735</v>
      </c>
      <c r="C20" s="133">
        <v>1600</v>
      </c>
      <c r="D20" s="133">
        <v>700</v>
      </c>
      <c r="E20" s="133">
        <v>300</v>
      </c>
      <c r="F20" s="133">
        <v>250</v>
      </c>
      <c r="G20" s="131" t="s">
        <v>11</v>
      </c>
      <c r="H20" s="137" t="s">
        <v>267</v>
      </c>
      <c r="I20" s="133">
        <v>1865</v>
      </c>
      <c r="J20" s="44">
        <f t="shared" si="0"/>
        <v>1305.5</v>
      </c>
      <c r="K20" s="133">
        <v>815.9375</v>
      </c>
      <c r="L20" s="44">
        <f t="shared" si="1"/>
        <v>571.15625</v>
      </c>
      <c r="M20" s="137">
        <v>349.6875</v>
      </c>
      <c r="N20" s="44">
        <f t="shared" si="2"/>
        <v>244.78124999999997</v>
      </c>
      <c r="O20" s="137">
        <v>291.49950000000001</v>
      </c>
      <c r="P20" s="44">
        <f t="shared" si="3"/>
        <v>204.04964999999999</v>
      </c>
      <c r="Q20" s="133">
        <v>1865</v>
      </c>
    </row>
    <row r="21" spans="1:17" ht="72" customHeight="1" x14ac:dyDescent="0.2">
      <c r="A21" s="131"/>
      <c r="B21" s="137"/>
      <c r="C21" s="133"/>
      <c r="D21" s="133"/>
      <c r="E21" s="133"/>
      <c r="F21" s="133"/>
      <c r="G21" s="131" t="s">
        <v>268</v>
      </c>
      <c r="H21" s="137" t="s">
        <v>269</v>
      </c>
      <c r="I21" s="133">
        <v>2050</v>
      </c>
      <c r="J21" s="44">
        <f t="shared" si="0"/>
        <v>1435</v>
      </c>
      <c r="K21" s="133">
        <v>896.875</v>
      </c>
      <c r="L21" s="44">
        <f t="shared" si="1"/>
        <v>627.8125</v>
      </c>
      <c r="M21" s="137">
        <v>384.375</v>
      </c>
      <c r="N21" s="44">
        <f t="shared" si="2"/>
        <v>269.0625</v>
      </c>
      <c r="O21" s="137">
        <v>320.41499999999996</v>
      </c>
      <c r="P21" s="44">
        <f t="shared" si="3"/>
        <v>224.29049999999995</v>
      </c>
      <c r="Q21" s="133">
        <v>2050</v>
      </c>
    </row>
    <row r="22" spans="1:17" ht="64.5" customHeight="1" x14ac:dyDescent="0.2">
      <c r="A22" s="131">
        <v>5</v>
      </c>
      <c r="B22" s="137" t="s">
        <v>736</v>
      </c>
      <c r="C22" s="133">
        <v>2500</v>
      </c>
      <c r="D22" s="133">
        <v>1200</v>
      </c>
      <c r="E22" s="133">
        <v>800</v>
      </c>
      <c r="F22" s="133">
        <v>600</v>
      </c>
      <c r="G22" s="131">
        <v>5</v>
      </c>
      <c r="H22" s="137" t="s">
        <v>270</v>
      </c>
      <c r="I22" s="133">
        <v>2750</v>
      </c>
      <c r="J22" s="44">
        <f t="shared" si="0"/>
        <v>1924.9999999999998</v>
      </c>
      <c r="K22" s="133">
        <v>1320</v>
      </c>
      <c r="L22" s="44">
        <f t="shared" si="1"/>
        <v>923.99999999999989</v>
      </c>
      <c r="M22" s="137">
        <v>880.00000000000011</v>
      </c>
      <c r="N22" s="44">
        <f t="shared" si="2"/>
        <v>616</v>
      </c>
      <c r="O22" s="137">
        <v>660</v>
      </c>
      <c r="P22" s="44">
        <f t="shared" si="3"/>
        <v>461.99999999999994</v>
      </c>
      <c r="Q22" s="133">
        <v>2750</v>
      </c>
    </row>
    <row r="23" spans="1:17" ht="47.25" customHeight="1" x14ac:dyDescent="0.2">
      <c r="A23" s="131">
        <v>6</v>
      </c>
      <c r="B23" s="137" t="s">
        <v>271</v>
      </c>
      <c r="C23" s="133">
        <v>2500</v>
      </c>
      <c r="D23" s="133">
        <v>1000</v>
      </c>
      <c r="E23" s="133">
        <v>700</v>
      </c>
      <c r="F23" s="133">
        <v>400</v>
      </c>
      <c r="G23" s="131">
        <v>6</v>
      </c>
      <c r="H23" s="137" t="s">
        <v>271</v>
      </c>
      <c r="I23" s="133">
        <v>2750</v>
      </c>
      <c r="J23" s="44">
        <f t="shared" si="0"/>
        <v>1924.9999999999998</v>
      </c>
      <c r="K23" s="133">
        <v>1100</v>
      </c>
      <c r="L23" s="44">
        <f t="shared" si="1"/>
        <v>770</v>
      </c>
      <c r="M23" s="137">
        <v>770.00000000000011</v>
      </c>
      <c r="N23" s="44">
        <f t="shared" si="2"/>
        <v>539</v>
      </c>
      <c r="O23" s="137">
        <v>440.00000000000006</v>
      </c>
      <c r="P23" s="44">
        <f t="shared" si="3"/>
        <v>308</v>
      </c>
      <c r="Q23" s="133">
        <v>2750</v>
      </c>
    </row>
    <row r="24" spans="1:17" ht="69.75" customHeight="1" x14ac:dyDescent="0.2">
      <c r="A24" s="131">
        <v>7</v>
      </c>
      <c r="B24" s="137" t="s">
        <v>737</v>
      </c>
      <c r="C24" s="133">
        <v>1500</v>
      </c>
      <c r="D24" s="133">
        <v>900</v>
      </c>
      <c r="E24" s="133">
        <v>500</v>
      </c>
      <c r="F24" s="133">
        <v>300</v>
      </c>
      <c r="G24" s="131">
        <v>7</v>
      </c>
      <c r="H24" s="137" t="s">
        <v>272</v>
      </c>
      <c r="I24" s="133">
        <v>1650.0000000000002</v>
      </c>
      <c r="J24" s="44">
        <f t="shared" si="0"/>
        <v>1155</v>
      </c>
      <c r="K24" s="133">
        <v>990.00000000000011</v>
      </c>
      <c r="L24" s="44">
        <f t="shared" si="1"/>
        <v>693</v>
      </c>
      <c r="M24" s="137">
        <v>550</v>
      </c>
      <c r="N24" s="44">
        <f t="shared" si="2"/>
        <v>385</v>
      </c>
      <c r="O24" s="137">
        <v>330</v>
      </c>
      <c r="P24" s="44">
        <f t="shared" si="3"/>
        <v>230.99999999999997</v>
      </c>
      <c r="Q24" s="133">
        <v>1650.0000000000002</v>
      </c>
    </row>
    <row r="25" spans="1:17" ht="82.5" customHeight="1" x14ac:dyDescent="0.2">
      <c r="A25" s="131">
        <v>8</v>
      </c>
      <c r="B25" s="137" t="s">
        <v>738</v>
      </c>
      <c r="C25" s="133">
        <v>800</v>
      </c>
      <c r="D25" s="133">
        <v>500</v>
      </c>
      <c r="E25" s="133">
        <v>350</v>
      </c>
      <c r="F25" s="133">
        <v>150</v>
      </c>
      <c r="G25" s="131">
        <v>8</v>
      </c>
      <c r="H25" s="137" t="s">
        <v>273</v>
      </c>
      <c r="I25" s="133">
        <v>880.00000000000011</v>
      </c>
      <c r="J25" s="44">
        <f t="shared" si="0"/>
        <v>616</v>
      </c>
      <c r="K25" s="133">
        <v>550</v>
      </c>
      <c r="L25" s="44">
        <f t="shared" si="1"/>
        <v>385</v>
      </c>
      <c r="M25" s="137">
        <v>385.00000000000006</v>
      </c>
      <c r="N25" s="44">
        <f t="shared" si="2"/>
        <v>269.5</v>
      </c>
      <c r="O25" s="137">
        <v>165</v>
      </c>
      <c r="P25" s="44">
        <f t="shared" si="3"/>
        <v>115.49999999999999</v>
      </c>
      <c r="Q25" s="133">
        <v>880.00000000000011</v>
      </c>
    </row>
    <row r="26" spans="1:17" ht="83.25" customHeight="1" x14ac:dyDescent="0.2">
      <c r="A26" s="131">
        <v>9</v>
      </c>
      <c r="B26" s="137" t="s">
        <v>274</v>
      </c>
      <c r="C26" s="133">
        <v>700</v>
      </c>
      <c r="D26" s="133">
        <v>450</v>
      </c>
      <c r="E26" s="133">
        <v>400</v>
      </c>
      <c r="F26" s="133">
        <v>300</v>
      </c>
      <c r="G26" s="131">
        <v>9</v>
      </c>
      <c r="H26" s="137" t="s">
        <v>274</v>
      </c>
      <c r="I26" s="133">
        <v>770.00000000000011</v>
      </c>
      <c r="J26" s="44">
        <f t="shared" si="0"/>
        <v>539</v>
      </c>
      <c r="K26" s="133">
        <v>495.00000000000006</v>
      </c>
      <c r="L26" s="44">
        <f t="shared" si="1"/>
        <v>346.5</v>
      </c>
      <c r="M26" s="137">
        <v>440.00000000000006</v>
      </c>
      <c r="N26" s="44">
        <f t="shared" si="2"/>
        <v>308</v>
      </c>
      <c r="O26" s="137">
        <v>330</v>
      </c>
      <c r="P26" s="44">
        <f t="shared" si="3"/>
        <v>230.99999999999997</v>
      </c>
      <c r="Q26" s="133">
        <v>770.00000000000011</v>
      </c>
    </row>
    <row r="27" spans="1:17" ht="93.75" customHeight="1" x14ac:dyDescent="0.2">
      <c r="A27" s="131">
        <v>10</v>
      </c>
      <c r="B27" s="137" t="s">
        <v>739</v>
      </c>
      <c r="C27" s="133">
        <v>1800</v>
      </c>
      <c r="D27" s="133">
        <v>900</v>
      </c>
      <c r="E27" s="133">
        <v>650</v>
      </c>
      <c r="F27" s="133">
        <v>350</v>
      </c>
      <c r="G27" s="131">
        <v>10</v>
      </c>
      <c r="H27" s="137" t="s">
        <v>275</v>
      </c>
      <c r="I27" s="133">
        <v>1980.0000000000002</v>
      </c>
      <c r="J27" s="44">
        <f t="shared" si="0"/>
        <v>1386</v>
      </c>
      <c r="K27" s="133">
        <v>990.00000000000011</v>
      </c>
      <c r="L27" s="44">
        <f t="shared" si="1"/>
        <v>693</v>
      </c>
      <c r="M27" s="137">
        <v>715.00000000000011</v>
      </c>
      <c r="N27" s="44">
        <f t="shared" si="2"/>
        <v>500.50000000000006</v>
      </c>
      <c r="O27" s="137">
        <v>385.00000000000006</v>
      </c>
      <c r="P27" s="44">
        <f t="shared" si="3"/>
        <v>269.5</v>
      </c>
      <c r="Q27" s="133">
        <v>1980.0000000000002</v>
      </c>
    </row>
    <row r="28" spans="1:17" ht="84.75" customHeight="1" x14ac:dyDescent="0.2">
      <c r="A28" s="131">
        <v>11</v>
      </c>
      <c r="B28" s="137" t="s">
        <v>276</v>
      </c>
      <c r="C28" s="133">
        <v>1300</v>
      </c>
      <c r="D28" s="133">
        <v>850</v>
      </c>
      <c r="E28" s="133">
        <v>500</v>
      </c>
      <c r="F28" s="133">
        <v>350</v>
      </c>
      <c r="G28" s="131">
        <v>11</v>
      </c>
      <c r="H28" s="137" t="s">
        <v>276</v>
      </c>
      <c r="I28" s="133">
        <v>1430.0000000000002</v>
      </c>
      <c r="J28" s="44">
        <f t="shared" si="0"/>
        <v>1001.0000000000001</v>
      </c>
      <c r="K28" s="133">
        <v>935.00000000000011</v>
      </c>
      <c r="L28" s="44">
        <f t="shared" si="1"/>
        <v>654.5</v>
      </c>
      <c r="M28" s="137">
        <v>550</v>
      </c>
      <c r="N28" s="44">
        <f t="shared" si="2"/>
        <v>385</v>
      </c>
      <c r="O28" s="137">
        <v>385.00000000000006</v>
      </c>
      <c r="P28" s="44">
        <f t="shared" si="3"/>
        <v>269.5</v>
      </c>
      <c r="Q28" s="133">
        <v>1430.0000000000002</v>
      </c>
    </row>
    <row r="29" spans="1:17" ht="75" customHeight="1" x14ac:dyDescent="0.2">
      <c r="A29" s="131">
        <v>12</v>
      </c>
      <c r="B29" s="137" t="s">
        <v>740</v>
      </c>
      <c r="C29" s="133">
        <v>2500</v>
      </c>
      <c r="D29" s="133">
        <v>1000</v>
      </c>
      <c r="E29" s="133">
        <v>700</v>
      </c>
      <c r="F29" s="133">
        <v>400</v>
      </c>
      <c r="G29" s="131">
        <v>12</v>
      </c>
      <c r="H29" s="137" t="s">
        <v>277</v>
      </c>
      <c r="I29" s="133">
        <v>2750</v>
      </c>
      <c r="J29" s="44">
        <f t="shared" si="0"/>
        <v>1924.9999999999998</v>
      </c>
      <c r="K29" s="133">
        <v>1100</v>
      </c>
      <c r="L29" s="44">
        <f t="shared" si="1"/>
        <v>770</v>
      </c>
      <c r="M29" s="137">
        <v>770.00000000000011</v>
      </c>
      <c r="N29" s="44">
        <f t="shared" si="2"/>
        <v>539</v>
      </c>
      <c r="O29" s="137">
        <v>440.00000000000006</v>
      </c>
      <c r="P29" s="44">
        <f t="shared" si="3"/>
        <v>308</v>
      </c>
      <c r="Q29" s="133">
        <v>2750</v>
      </c>
    </row>
    <row r="30" spans="1:17" ht="81" customHeight="1" x14ac:dyDescent="0.2">
      <c r="A30" s="131">
        <v>13</v>
      </c>
      <c r="B30" s="137" t="s">
        <v>278</v>
      </c>
      <c r="C30" s="133">
        <v>1800</v>
      </c>
      <c r="D30" s="133">
        <v>900</v>
      </c>
      <c r="E30" s="133">
        <v>650</v>
      </c>
      <c r="F30" s="133">
        <v>350</v>
      </c>
      <c r="G30" s="131">
        <v>13</v>
      </c>
      <c r="H30" s="137" t="s">
        <v>278</v>
      </c>
      <c r="I30" s="133">
        <v>1980.0000000000002</v>
      </c>
      <c r="J30" s="44">
        <f t="shared" si="0"/>
        <v>1386</v>
      </c>
      <c r="K30" s="133">
        <v>990.00000000000011</v>
      </c>
      <c r="L30" s="44">
        <f t="shared" si="1"/>
        <v>693</v>
      </c>
      <c r="M30" s="137">
        <v>715.00000000000011</v>
      </c>
      <c r="N30" s="44">
        <f t="shared" si="2"/>
        <v>500.50000000000006</v>
      </c>
      <c r="O30" s="137">
        <v>385.00000000000006</v>
      </c>
      <c r="P30" s="44">
        <f t="shared" si="3"/>
        <v>269.5</v>
      </c>
      <c r="Q30" s="133">
        <v>1980.0000000000002</v>
      </c>
    </row>
    <row r="31" spans="1:17" ht="105.75" customHeight="1" x14ac:dyDescent="0.2">
      <c r="A31" s="131">
        <v>14</v>
      </c>
      <c r="B31" s="137" t="s">
        <v>741</v>
      </c>
      <c r="C31" s="133">
        <v>1300</v>
      </c>
      <c r="D31" s="133">
        <f>C31*50%</f>
        <v>650</v>
      </c>
      <c r="E31" s="133">
        <v>450</v>
      </c>
      <c r="F31" s="133">
        <v>250</v>
      </c>
      <c r="G31" s="131">
        <v>14</v>
      </c>
      <c r="H31" s="137" t="s">
        <v>279</v>
      </c>
      <c r="I31" s="133">
        <v>1430.0000000000002</v>
      </c>
      <c r="J31" s="44">
        <f t="shared" si="0"/>
        <v>1001.0000000000001</v>
      </c>
      <c r="K31" s="133">
        <v>715.00000000000011</v>
      </c>
      <c r="L31" s="44">
        <f t="shared" si="1"/>
        <v>500.50000000000006</v>
      </c>
      <c r="M31" s="137">
        <v>495.00000000000006</v>
      </c>
      <c r="N31" s="44">
        <f t="shared" si="2"/>
        <v>346.5</v>
      </c>
      <c r="O31" s="137">
        <v>275</v>
      </c>
      <c r="P31" s="44">
        <f t="shared" si="3"/>
        <v>192.5</v>
      </c>
      <c r="Q31" s="133">
        <v>1430.0000000000002</v>
      </c>
    </row>
    <row r="32" spans="1:17" ht="65.25" customHeight="1" x14ac:dyDescent="0.2">
      <c r="A32" s="131">
        <v>15</v>
      </c>
      <c r="B32" s="137" t="s">
        <v>742</v>
      </c>
      <c r="C32" s="133">
        <v>700</v>
      </c>
      <c r="D32" s="133">
        <v>450</v>
      </c>
      <c r="E32" s="133">
        <v>400</v>
      </c>
      <c r="F32" s="133">
        <v>300</v>
      </c>
      <c r="G32" s="131">
        <v>15</v>
      </c>
      <c r="H32" s="137" t="s">
        <v>280</v>
      </c>
      <c r="I32" s="133">
        <v>770.00000000000011</v>
      </c>
      <c r="J32" s="44">
        <f t="shared" si="0"/>
        <v>539</v>
      </c>
      <c r="K32" s="133">
        <v>495.00000000000006</v>
      </c>
      <c r="L32" s="44">
        <f t="shared" si="1"/>
        <v>346.5</v>
      </c>
      <c r="M32" s="137">
        <v>440.00000000000006</v>
      </c>
      <c r="N32" s="44">
        <f t="shared" si="2"/>
        <v>308</v>
      </c>
      <c r="O32" s="137">
        <v>330</v>
      </c>
      <c r="P32" s="44">
        <f t="shared" si="3"/>
        <v>230.99999999999997</v>
      </c>
      <c r="Q32" s="133">
        <v>770.00000000000011</v>
      </c>
    </row>
    <row r="33" spans="1:17" ht="34.5" customHeight="1" x14ac:dyDescent="0.2">
      <c r="A33" s="131">
        <v>16</v>
      </c>
      <c r="B33" s="137" t="s">
        <v>743</v>
      </c>
      <c r="C33" s="133">
        <v>600</v>
      </c>
      <c r="D33" s="133">
        <v>350</v>
      </c>
      <c r="E33" s="133">
        <v>250</v>
      </c>
      <c r="F33" s="133">
        <v>200</v>
      </c>
      <c r="G33" s="131">
        <v>16</v>
      </c>
      <c r="H33" s="140" t="s">
        <v>281</v>
      </c>
      <c r="I33" s="133">
        <v>834</v>
      </c>
      <c r="J33" s="44">
        <f>600*1.1*70%</f>
        <v>461.99999999999994</v>
      </c>
      <c r="K33" s="133">
        <v>385.00000000000006</v>
      </c>
      <c r="L33" s="44">
        <f>350*1.1*70%</f>
        <v>269.5</v>
      </c>
      <c r="M33" s="140">
        <v>220.00000000000003</v>
      </c>
      <c r="N33" s="44">
        <f>250*1.1*70%</f>
        <v>192.5</v>
      </c>
      <c r="O33" s="140">
        <v>250.2</v>
      </c>
      <c r="P33" s="44">
        <f>200*1.1*70%</f>
        <v>154</v>
      </c>
      <c r="Q33" s="133">
        <v>834</v>
      </c>
    </row>
    <row r="34" spans="1:17" ht="75.75" customHeight="1" x14ac:dyDescent="0.2">
      <c r="A34" s="131">
        <v>17</v>
      </c>
      <c r="B34" s="137" t="s">
        <v>281</v>
      </c>
      <c r="C34" s="133" t="s">
        <v>744</v>
      </c>
      <c r="D34" s="133">
        <v>300</v>
      </c>
      <c r="E34" s="133">
        <v>200</v>
      </c>
      <c r="F34" s="133">
        <v>150</v>
      </c>
      <c r="G34" s="141">
        <v>17</v>
      </c>
      <c r="H34" s="142" t="s">
        <v>282</v>
      </c>
      <c r="I34" s="133"/>
      <c r="J34" s="44"/>
      <c r="K34" s="143"/>
      <c r="L34" s="44"/>
      <c r="M34" s="142"/>
      <c r="N34" s="44"/>
      <c r="O34" s="142"/>
      <c r="P34" s="44"/>
      <c r="Q34" s="133"/>
    </row>
    <row r="35" spans="1:17" ht="90.75" customHeight="1" x14ac:dyDescent="0.25">
      <c r="A35" s="141">
        <v>18</v>
      </c>
      <c r="B35" s="142" t="s">
        <v>745</v>
      </c>
      <c r="C35" s="114"/>
      <c r="D35" s="144"/>
      <c r="E35" s="144"/>
      <c r="F35" s="145"/>
      <c r="G35" s="141" t="s">
        <v>283</v>
      </c>
      <c r="H35" s="142" t="s">
        <v>1062</v>
      </c>
      <c r="I35" s="133">
        <v>2750</v>
      </c>
      <c r="J35" s="44">
        <f t="shared" si="0"/>
        <v>1924.9999999999998</v>
      </c>
      <c r="K35" s="143">
        <v>1375</v>
      </c>
      <c r="L35" s="44">
        <f t="shared" si="1"/>
        <v>962.49999999999989</v>
      </c>
      <c r="M35" s="142">
        <v>825.00000000000011</v>
      </c>
      <c r="N35" s="44">
        <f t="shared" si="2"/>
        <v>577.5</v>
      </c>
      <c r="O35" s="142">
        <v>605</v>
      </c>
      <c r="P35" s="44">
        <f t="shared" si="3"/>
        <v>423.5</v>
      </c>
      <c r="Q35" s="133">
        <v>2750</v>
      </c>
    </row>
    <row r="36" spans="1:17" ht="57.75" customHeight="1" x14ac:dyDescent="0.2">
      <c r="A36" s="141" t="s">
        <v>290</v>
      </c>
      <c r="B36" s="142" t="s">
        <v>746</v>
      </c>
      <c r="C36" s="133">
        <v>2500</v>
      </c>
      <c r="D36" s="133">
        <f>C36*50%</f>
        <v>1250</v>
      </c>
      <c r="E36" s="133">
        <f>C36*30%</f>
        <v>750</v>
      </c>
      <c r="F36" s="133">
        <v>550</v>
      </c>
      <c r="G36" s="141" t="s">
        <v>284</v>
      </c>
      <c r="H36" s="142" t="s">
        <v>285</v>
      </c>
      <c r="I36" s="133">
        <v>1100</v>
      </c>
      <c r="J36" s="44">
        <f t="shared" si="0"/>
        <v>770</v>
      </c>
      <c r="K36" s="143">
        <v>550</v>
      </c>
      <c r="L36" s="44">
        <f t="shared" si="1"/>
        <v>385</v>
      </c>
      <c r="M36" s="142">
        <v>330</v>
      </c>
      <c r="N36" s="44">
        <f t="shared" si="2"/>
        <v>230.99999999999997</v>
      </c>
      <c r="O36" s="142">
        <v>242.00000000000003</v>
      </c>
      <c r="P36" s="44">
        <f t="shared" si="3"/>
        <v>169.4</v>
      </c>
      <c r="Q36" s="133">
        <v>1100</v>
      </c>
    </row>
    <row r="37" spans="1:17" ht="48.75" customHeight="1" x14ac:dyDescent="0.2">
      <c r="A37" s="141" t="s">
        <v>292</v>
      </c>
      <c r="B37" s="142" t="s">
        <v>747</v>
      </c>
      <c r="C37" s="133">
        <v>1000</v>
      </c>
      <c r="D37" s="133">
        <v>500</v>
      </c>
      <c r="E37" s="133">
        <v>300</v>
      </c>
      <c r="F37" s="133">
        <v>220</v>
      </c>
      <c r="G37" s="141" t="s">
        <v>286</v>
      </c>
      <c r="H37" s="142" t="s">
        <v>287</v>
      </c>
      <c r="I37" s="133">
        <v>2200</v>
      </c>
      <c r="J37" s="44">
        <f t="shared" si="0"/>
        <v>1540</v>
      </c>
      <c r="K37" s="143">
        <v>1320</v>
      </c>
      <c r="L37" s="44">
        <f t="shared" si="1"/>
        <v>923.99999999999989</v>
      </c>
      <c r="M37" s="142">
        <v>770.00000000000011</v>
      </c>
      <c r="N37" s="44">
        <f t="shared" si="2"/>
        <v>539</v>
      </c>
      <c r="O37" s="142">
        <v>484.00000000000006</v>
      </c>
      <c r="P37" s="44">
        <f t="shared" si="3"/>
        <v>338.8</v>
      </c>
      <c r="Q37" s="133">
        <v>2200</v>
      </c>
    </row>
    <row r="38" spans="1:17" ht="78.75" customHeight="1" x14ac:dyDescent="0.2">
      <c r="A38" s="141" t="s">
        <v>616</v>
      </c>
      <c r="B38" s="142" t="s">
        <v>287</v>
      </c>
      <c r="C38" s="133">
        <v>2000</v>
      </c>
      <c r="D38" s="133">
        <v>1200</v>
      </c>
      <c r="E38" s="133">
        <v>700</v>
      </c>
      <c r="F38" s="133">
        <v>440</v>
      </c>
      <c r="G38" s="141" t="s">
        <v>288</v>
      </c>
      <c r="H38" s="142" t="s">
        <v>289</v>
      </c>
      <c r="I38" s="133">
        <v>1100</v>
      </c>
      <c r="J38" s="44">
        <f t="shared" si="0"/>
        <v>770</v>
      </c>
      <c r="K38" s="143">
        <v>550</v>
      </c>
      <c r="L38" s="44">
        <f t="shared" si="1"/>
        <v>385</v>
      </c>
      <c r="M38" s="142">
        <v>330</v>
      </c>
      <c r="N38" s="44">
        <f t="shared" si="2"/>
        <v>230.99999999999997</v>
      </c>
      <c r="O38" s="142">
        <v>242.00000000000003</v>
      </c>
      <c r="P38" s="44">
        <f t="shared" si="3"/>
        <v>169.4</v>
      </c>
      <c r="Q38" s="133">
        <v>1100</v>
      </c>
    </row>
    <row r="39" spans="1:17" ht="70.5" customHeight="1" x14ac:dyDescent="0.2">
      <c r="A39" s="141" t="s">
        <v>617</v>
      </c>
      <c r="B39" s="142" t="s">
        <v>748</v>
      </c>
      <c r="C39" s="133">
        <v>1000</v>
      </c>
      <c r="D39" s="133">
        <v>500</v>
      </c>
      <c r="E39" s="133">
        <f>C39*30%</f>
        <v>300</v>
      </c>
      <c r="F39" s="133">
        <v>220</v>
      </c>
      <c r="G39" s="141">
        <v>18</v>
      </c>
      <c r="H39" s="142" t="s">
        <v>1050</v>
      </c>
      <c r="I39" s="133"/>
      <c r="J39" s="44"/>
      <c r="K39" s="143"/>
      <c r="L39" s="44"/>
      <c r="M39" s="142"/>
      <c r="N39" s="44"/>
      <c r="O39" s="142"/>
      <c r="P39" s="44"/>
      <c r="Q39" s="133"/>
    </row>
    <row r="40" spans="1:17" ht="60" customHeight="1" x14ac:dyDescent="0.25">
      <c r="A40" s="141">
        <v>19</v>
      </c>
      <c r="B40" s="142" t="s">
        <v>749</v>
      </c>
      <c r="C40" s="131"/>
      <c r="D40" s="131"/>
      <c r="E40" s="131"/>
      <c r="F40" s="145"/>
      <c r="G40" s="141" t="s">
        <v>290</v>
      </c>
      <c r="H40" s="142" t="s">
        <v>291</v>
      </c>
      <c r="I40" s="133">
        <v>880</v>
      </c>
      <c r="J40" s="44">
        <f t="shared" si="0"/>
        <v>616</v>
      </c>
      <c r="K40" s="143">
        <v>440</v>
      </c>
      <c r="L40" s="44">
        <f t="shared" si="1"/>
        <v>308</v>
      </c>
      <c r="M40" s="142">
        <v>220</v>
      </c>
      <c r="N40" s="44">
        <f t="shared" si="2"/>
        <v>154</v>
      </c>
      <c r="O40" s="142">
        <v>187</v>
      </c>
      <c r="P40" s="44">
        <f t="shared" si="3"/>
        <v>130.9</v>
      </c>
      <c r="Q40" s="133">
        <v>880</v>
      </c>
    </row>
    <row r="41" spans="1:17" ht="77.25" customHeight="1" x14ac:dyDescent="0.2">
      <c r="A41" s="141" t="s">
        <v>618</v>
      </c>
      <c r="B41" s="142" t="s">
        <v>750</v>
      </c>
      <c r="C41" s="133">
        <v>800</v>
      </c>
      <c r="D41" s="133">
        <v>400</v>
      </c>
      <c r="E41" s="133">
        <v>150</v>
      </c>
      <c r="F41" s="133">
        <v>170</v>
      </c>
      <c r="G41" s="141" t="s">
        <v>292</v>
      </c>
      <c r="H41" s="142" t="s">
        <v>293</v>
      </c>
      <c r="I41" s="133">
        <v>440</v>
      </c>
      <c r="J41" s="44">
        <f t="shared" si="0"/>
        <v>308</v>
      </c>
      <c r="K41" s="143">
        <v>275</v>
      </c>
      <c r="L41" s="44">
        <f t="shared" si="1"/>
        <v>192.5</v>
      </c>
      <c r="M41" s="142">
        <v>220</v>
      </c>
      <c r="N41" s="44">
        <f t="shared" si="2"/>
        <v>154</v>
      </c>
      <c r="O41" s="142">
        <v>187.00000000000003</v>
      </c>
      <c r="P41" s="44">
        <f t="shared" si="3"/>
        <v>130.9</v>
      </c>
      <c r="Q41" s="133">
        <v>440</v>
      </c>
    </row>
    <row r="42" spans="1:17" ht="33.75" customHeight="1" x14ac:dyDescent="0.2">
      <c r="A42" s="141" t="s">
        <v>619</v>
      </c>
      <c r="B42" s="142" t="s">
        <v>751</v>
      </c>
      <c r="C42" s="133">
        <v>600</v>
      </c>
      <c r="D42" s="133">
        <v>350</v>
      </c>
      <c r="E42" s="133">
        <v>150</v>
      </c>
      <c r="F42" s="133">
        <v>170</v>
      </c>
      <c r="G42" s="141">
        <v>19</v>
      </c>
      <c r="H42" s="142" t="s">
        <v>294</v>
      </c>
      <c r="I42" s="133">
        <v>330</v>
      </c>
      <c r="J42" s="44">
        <f t="shared" si="0"/>
        <v>230.99999999999997</v>
      </c>
      <c r="K42" s="143">
        <v>165</v>
      </c>
      <c r="L42" s="44">
        <f t="shared" si="1"/>
        <v>115.49999999999999</v>
      </c>
      <c r="M42" s="142">
        <v>110</v>
      </c>
      <c r="N42" s="44">
        <f t="shared" si="2"/>
        <v>77</v>
      </c>
      <c r="O42" s="142">
        <v>72</v>
      </c>
      <c r="P42" s="44">
        <f t="shared" si="3"/>
        <v>50.4</v>
      </c>
      <c r="Q42" s="133">
        <v>330</v>
      </c>
    </row>
    <row r="43" spans="1:17" ht="49.5" customHeight="1" x14ac:dyDescent="0.2">
      <c r="A43" s="141" t="s">
        <v>752</v>
      </c>
      <c r="B43" s="142" t="s">
        <v>753</v>
      </c>
      <c r="C43" s="133">
        <v>400</v>
      </c>
      <c r="D43" s="133">
        <v>250</v>
      </c>
      <c r="E43" s="133">
        <v>150</v>
      </c>
      <c r="F43" s="133">
        <v>170</v>
      </c>
      <c r="G43" s="141">
        <v>20</v>
      </c>
      <c r="H43" s="142" t="s">
        <v>295</v>
      </c>
      <c r="I43" s="133">
        <v>275</v>
      </c>
      <c r="J43" s="44">
        <f t="shared" si="0"/>
        <v>192.5</v>
      </c>
      <c r="K43" s="143">
        <v>143</v>
      </c>
      <c r="L43" s="44">
        <f t="shared" si="1"/>
        <v>100.1</v>
      </c>
      <c r="M43" s="142">
        <v>99</v>
      </c>
      <c r="N43" s="44">
        <f t="shared" si="2"/>
        <v>69.3</v>
      </c>
      <c r="O43" s="142">
        <v>61</v>
      </c>
      <c r="P43" s="44">
        <f t="shared" si="3"/>
        <v>42.699999999999996</v>
      </c>
      <c r="Q43" s="133">
        <v>275</v>
      </c>
    </row>
    <row r="44" spans="1:17" ht="110.25" customHeight="1" x14ac:dyDescent="0.2">
      <c r="A44" s="141">
        <v>20</v>
      </c>
      <c r="B44" s="142" t="s">
        <v>294</v>
      </c>
      <c r="C44" s="133">
        <v>300</v>
      </c>
      <c r="D44" s="133">
        <f>C44*50%</f>
        <v>150</v>
      </c>
      <c r="E44" s="133">
        <v>100</v>
      </c>
      <c r="F44" s="133">
        <v>65</v>
      </c>
      <c r="G44" s="141">
        <v>21</v>
      </c>
      <c r="H44" s="142" t="s">
        <v>296</v>
      </c>
      <c r="I44" s="133">
        <v>210</v>
      </c>
      <c r="J44" s="44">
        <f t="shared" si="0"/>
        <v>147</v>
      </c>
      <c r="K44" s="143">
        <v>168</v>
      </c>
      <c r="L44" s="44">
        <f t="shared" si="1"/>
        <v>117.6</v>
      </c>
      <c r="M44" s="142">
        <v>126</v>
      </c>
      <c r="N44" s="44">
        <f t="shared" si="2"/>
        <v>88.199999999999989</v>
      </c>
      <c r="O44" s="142">
        <v>105</v>
      </c>
      <c r="P44" s="44">
        <f t="shared" si="3"/>
        <v>73.5</v>
      </c>
      <c r="Q44" s="133">
        <v>210</v>
      </c>
    </row>
    <row r="45" spans="1:17" x14ac:dyDescent="0.25">
      <c r="A45" s="145"/>
      <c r="B45" s="146"/>
      <c r="C45" s="147"/>
      <c r="D45" s="147"/>
      <c r="E45" s="147"/>
      <c r="F45" s="141"/>
    </row>
    <row r="46" spans="1:17" x14ac:dyDescent="0.25">
      <c r="A46" s="145"/>
      <c r="B46" s="146"/>
      <c r="C46" s="133"/>
      <c r="D46" s="133"/>
      <c r="E46" s="133"/>
      <c r="F46" s="133"/>
    </row>
    <row r="48" spans="1:17" x14ac:dyDescent="0.25">
      <c r="C48" s="152"/>
      <c r="D48" s="152"/>
      <c r="E48" s="152"/>
      <c r="F48" s="152"/>
    </row>
  </sheetData>
  <mergeCells count="11">
    <mergeCell ref="A1:F1"/>
    <mergeCell ref="G1:P1"/>
    <mergeCell ref="C2:F2"/>
    <mergeCell ref="AM2:AO2"/>
    <mergeCell ref="H2:P2"/>
    <mergeCell ref="A3:F3"/>
    <mergeCell ref="G3:G5"/>
    <mergeCell ref="H3:H5"/>
    <mergeCell ref="J3:N3"/>
    <mergeCell ref="AL3:AO3"/>
    <mergeCell ref="A5:F5"/>
  </mergeCells>
  <pageMargins left="0.28740157500000002" right="0.140551181" top="0.49055118110236201" bottom="0.240551181" header="0.118110236220472" footer="0.118110236220472"/>
  <pageSetup paperSize="9" scale="85" firstPageNumber="32" orientation="portrait" useFirstPageNumber="1" r:id="rId1"/>
  <headerFooter>
    <oddHeader>&amp;C&amp;P</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9"/>
  <sheetViews>
    <sheetView tabSelected="1" topLeftCell="AH1" zoomScaleNormal="100" workbookViewId="0">
      <selection activeCell="AV16" sqref="AV16"/>
    </sheetView>
  </sheetViews>
  <sheetFormatPr defaultRowHeight="18.75" x14ac:dyDescent="0.3"/>
  <cols>
    <col min="1" max="1" width="5.85546875" style="124" hidden="1" customWidth="1"/>
    <col min="2" max="2" width="46.140625" style="124" hidden="1" customWidth="1"/>
    <col min="3" max="6" width="9" style="40" hidden="1" customWidth="1"/>
    <col min="7" max="7" width="9.7109375" style="40" hidden="1" customWidth="1"/>
    <col min="8" max="10" width="9" style="40" hidden="1" customWidth="1"/>
    <col min="11" max="13" width="6.5703125" style="40" hidden="1" customWidth="1"/>
    <col min="14" max="14" width="6.42578125" style="40" hidden="1" customWidth="1"/>
    <col min="15" max="15" width="5.85546875" style="124" hidden="1" customWidth="1"/>
    <col min="16" max="16" width="48.7109375" style="124" hidden="1" customWidth="1"/>
    <col min="17" max="17" width="9.140625" style="40" hidden="1" customWidth="1"/>
    <col min="18" max="18" width="9" style="40" hidden="1" customWidth="1"/>
    <col min="19" max="20" width="9.42578125" style="40" hidden="1" customWidth="1"/>
    <col min="21" max="23" width="10.7109375" style="40" hidden="1" customWidth="1"/>
    <col min="24" max="24" width="10.5703125" style="40" hidden="1" customWidth="1"/>
    <col min="25" max="25" width="14.42578125" style="40" hidden="1" customWidth="1"/>
    <col min="26" max="26" width="17.5703125" style="193" hidden="1" customWidth="1"/>
    <col min="27" max="27" width="15.28515625" style="124" hidden="1" customWidth="1"/>
    <col min="28" max="28" width="8.140625" style="194" hidden="1" customWidth="1"/>
    <col min="29" max="29" width="48.5703125" style="195" hidden="1" customWidth="1"/>
    <col min="30" max="30" width="9.85546875" style="196" hidden="1" customWidth="1"/>
    <col min="31" max="31" width="9.5703125" style="196" hidden="1" customWidth="1"/>
    <col min="32" max="32" width="9.28515625" style="196" hidden="1" customWidth="1"/>
    <col min="33" max="33" width="9.5703125" style="196" hidden="1" customWidth="1"/>
    <col min="34" max="34" width="6.28515625" style="124" customWidth="1"/>
    <col min="35" max="35" width="58.42578125" style="124" customWidth="1"/>
    <col min="36" max="36" width="13" style="124" customWidth="1"/>
    <col min="37" max="37" width="9.85546875" style="124" customWidth="1"/>
    <col min="38" max="38" width="8.28515625" style="124" customWidth="1"/>
    <col min="39" max="40" width="0" style="124" hidden="1" customWidth="1"/>
    <col min="41" max="256" width="9.140625" style="124"/>
    <col min="257" max="283" width="0" style="124" hidden="1" customWidth="1"/>
    <col min="284" max="284" width="8.140625" style="124" customWidth="1"/>
    <col min="285" max="285" width="48.5703125" style="124" customWidth="1"/>
    <col min="286" max="286" width="9.85546875" style="124" customWidth="1"/>
    <col min="287" max="287" width="9.5703125" style="124" customWidth="1"/>
    <col min="288" max="288" width="9.28515625" style="124" customWidth="1"/>
    <col min="289" max="289" width="9.5703125" style="124" customWidth="1"/>
    <col min="290" max="290" width="9.140625" style="124"/>
    <col min="291" max="291" width="51.85546875" style="124" customWidth="1"/>
    <col min="292" max="295" width="9.140625" style="124"/>
    <col min="296" max="296" width="0" style="124" hidden="1" customWidth="1"/>
    <col min="297" max="512" width="9.140625" style="124"/>
    <col min="513" max="539" width="0" style="124" hidden="1" customWidth="1"/>
    <col min="540" max="540" width="8.140625" style="124" customWidth="1"/>
    <col min="541" max="541" width="48.5703125" style="124" customWidth="1"/>
    <col min="542" max="542" width="9.85546875" style="124" customWidth="1"/>
    <col min="543" max="543" width="9.5703125" style="124" customWidth="1"/>
    <col min="544" max="544" width="9.28515625" style="124" customWidth="1"/>
    <col min="545" max="545" width="9.5703125" style="124" customWidth="1"/>
    <col min="546" max="546" width="9.140625" style="124"/>
    <col min="547" max="547" width="51.85546875" style="124" customWidth="1"/>
    <col min="548" max="551" width="9.140625" style="124"/>
    <col min="552" max="552" width="0" style="124" hidden="1" customWidth="1"/>
    <col min="553" max="768" width="9.140625" style="124"/>
    <col min="769" max="795" width="0" style="124" hidden="1" customWidth="1"/>
    <col min="796" max="796" width="8.140625" style="124" customWidth="1"/>
    <col min="797" max="797" width="48.5703125" style="124" customWidth="1"/>
    <col min="798" max="798" width="9.85546875" style="124" customWidth="1"/>
    <col min="799" max="799" width="9.5703125" style="124" customWidth="1"/>
    <col min="800" max="800" width="9.28515625" style="124" customWidth="1"/>
    <col min="801" max="801" width="9.5703125" style="124" customWidth="1"/>
    <col min="802" max="802" width="9.140625" style="124"/>
    <col min="803" max="803" width="51.85546875" style="124" customWidth="1"/>
    <col min="804" max="807" width="9.140625" style="124"/>
    <col min="808" max="808" width="0" style="124" hidden="1" customWidth="1"/>
    <col min="809" max="1024" width="9.140625" style="124"/>
    <col min="1025" max="1051" width="0" style="124" hidden="1" customWidth="1"/>
    <col min="1052" max="1052" width="8.140625" style="124" customWidth="1"/>
    <col min="1053" max="1053" width="48.5703125" style="124" customWidth="1"/>
    <col min="1054" max="1054" width="9.85546875" style="124" customWidth="1"/>
    <col min="1055" max="1055" width="9.5703125" style="124" customWidth="1"/>
    <col min="1056" max="1056" width="9.28515625" style="124" customWidth="1"/>
    <col min="1057" max="1057" width="9.5703125" style="124" customWidth="1"/>
    <col min="1058" max="1058" width="9.140625" style="124"/>
    <col min="1059" max="1059" width="51.85546875" style="124" customWidth="1"/>
    <col min="1060" max="1063" width="9.140625" style="124"/>
    <col min="1064" max="1064" width="0" style="124" hidden="1" customWidth="1"/>
    <col min="1065" max="1280" width="9.140625" style="124"/>
    <col min="1281" max="1307" width="0" style="124" hidden="1" customWidth="1"/>
    <col min="1308" max="1308" width="8.140625" style="124" customWidth="1"/>
    <col min="1309" max="1309" width="48.5703125" style="124" customWidth="1"/>
    <col min="1310" max="1310" width="9.85546875" style="124" customWidth="1"/>
    <col min="1311" max="1311" width="9.5703125" style="124" customWidth="1"/>
    <col min="1312" max="1312" width="9.28515625" style="124" customWidth="1"/>
    <col min="1313" max="1313" width="9.5703125" style="124" customWidth="1"/>
    <col min="1314" max="1314" width="9.140625" style="124"/>
    <col min="1315" max="1315" width="51.85546875" style="124" customWidth="1"/>
    <col min="1316" max="1319" width="9.140625" style="124"/>
    <col min="1320" max="1320" width="0" style="124" hidden="1" customWidth="1"/>
    <col min="1321" max="1536" width="9.140625" style="124"/>
    <col min="1537" max="1563" width="0" style="124" hidden="1" customWidth="1"/>
    <col min="1564" max="1564" width="8.140625" style="124" customWidth="1"/>
    <col min="1565" max="1565" width="48.5703125" style="124" customWidth="1"/>
    <col min="1566" max="1566" width="9.85546875" style="124" customWidth="1"/>
    <col min="1567" max="1567" width="9.5703125" style="124" customWidth="1"/>
    <col min="1568" max="1568" width="9.28515625" style="124" customWidth="1"/>
    <col min="1569" max="1569" width="9.5703125" style="124" customWidth="1"/>
    <col min="1570" max="1570" width="9.140625" style="124"/>
    <col min="1571" max="1571" width="51.85546875" style="124" customWidth="1"/>
    <col min="1572" max="1575" width="9.140625" style="124"/>
    <col min="1576" max="1576" width="0" style="124" hidden="1" customWidth="1"/>
    <col min="1577" max="1792" width="9.140625" style="124"/>
    <col min="1793" max="1819" width="0" style="124" hidden="1" customWidth="1"/>
    <col min="1820" max="1820" width="8.140625" style="124" customWidth="1"/>
    <col min="1821" max="1821" width="48.5703125" style="124" customWidth="1"/>
    <col min="1822" max="1822" width="9.85546875" style="124" customWidth="1"/>
    <col min="1823" max="1823" width="9.5703125" style="124" customWidth="1"/>
    <col min="1824" max="1824" width="9.28515625" style="124" customWidth="1"/>
    <col min="1825" max="1825" width="9.5703125" style="124" customWidth="1"/>
    <col min="1826" max="1826" width="9.140625" style="124"/>
    <col min="1827" max="1827" width="51.85546875" style="124" customWidth="1"/>
    <col min="1828" max="1831" width="9.140625" style="124"/>
    <col min="1832" max="1832" width="0" style="124" hidden="1" customWidth="1"/>
    <col min="1833" max="2048" width="9.140625" style="124"/>
    <col min="2049" max="2075" width="0" style="124" hidden="1" customWidth="1"/>
    <col min="2076" max="2076" width="8.140625" style="124" customWidth="1"/>
    <col min="2077" max="2077" width="48.5703125" style="124" customWidth="1"/>
    <col min="2078" max="2078" width="9.85546875" style="124" customWidth="1"/>
    <col min="2079" max="2079" width="9.5703125" style="124" customWidth="1"/>
    <col min="2080" max="2080" width="9.28515625" style="124" customWidth="1"/>
    <col min="2081" max="2081" width="9.5703125" style="124" customWidth="1"/>
    <col min="2082" max="2082" width="9.140625" style="124"/>
    <col min="2083" max="2083" width="51.85546875" style="124" customWidth="1"/>
    <col min="2084" max="2087" width="9.140625" style="124"/>
    <col min="2088" max="2088" width="0" style="124" hidden="1" customWidth="1"/>
    <col min="2089" max="2304" width="9.140625" style="124"/>
    <col min="2305" max="2331" width="0" style="124" hidden="1" customWidth="1"/>
    <col min="2332" max="2332" width="8.140625" style="124" customWidth="1"/>
    <col min="2333" max="2333" width="48.5703125" style="124" customWidth="1"/>
    <col min="2334" max="2334" width="9.85546875" style="124" customWidth="1"/>
    <col min="2335" max="2335" width="9.5703125" style="124" customWidth="1"/>
    <col min="2336" max="2336" width="9.28515625" style="124" customWidth="1"/>
    <col min="2337" max="2337" width="9.5703125" style="124" customWidth="1"/>
    <col min="2338" max="2338" width="9.140625" style="124"/>
    <col min="2339" max="2339" width="51.85546875" style="124" customWidth="1"/>
    <col min="2340" max="2343" width="9.140625" style="124"/>
    <col min="2344" max="2344" width="0" style="124" hidden="1" customWidth="1"/>
    <col min="2345" max="2560" width="9.140625" style="124"/>
    <col min="2561" max="2587" width="0" style="124" hidden="1" customWidth="1"/>
    <col min="2588" max="2588" width="8.140625" style="124" customWidth="1"/>
    <col min="2589" max="2589" width="48.5703125" style="124" customWidth="1"/>
    <col min="2590" max="2590" width="9.85546875" style="124" customWidth="1"/>
    <col min="2591" max="2591" width="9.5703125" style="124" customWidth="1"/>
    <col min="2592" max="2592" width="9.28515625" style="124" customWidth="1"/>
    <col min="2593" max="2593" width="9.5703125" style="124" customWidth="1"/>
    <col min="2594" max="2594" width="9.140625" style="124"/>
    <col min="2595" max="2595" width="51.85546875" style="124" customWidth="1"/>
    <col min="2596" max="2599" width="9.140625" style="124"/>
    <col min="2600" max="2600" width="0" style="124" hidden="1" customWidth="1"/>
    <col min="2601" max="2816" width="9.140625" style="124"/>
    <col min="2817" max="2843" width="0" style="124" hidden="1" customWidth="1"/>
    <col min="2844" max="2844" width="8.140625" style="124" customWidth="1"/>
    <col min="2845" max="2845" width="48.5703125" style="124" customWidth="1"/>
    <col min="2846" max="2846" width="9.85546875" style="124" customWidth="1"/>
    <col min="2847" max="2847" width="9.5703125" style="124" customWidth="1"/>
    <col min="2848" max="2848" width="9.28515625" style="124" customWidth="1"/>
    <col min="2849" max="2849" width="9.5703125" style="124" customWidth="1"/>
    <col min="2850" max="2850" width="9.140625" style="124"/>
    <col min="2851" max="2851" width="51.85546875" style="124" customWidth="1"/>
    <col min="2852" max="2855" width="9.140625" style="124"/>
    <col min="2856" max="2856" width="0" style="124" hidden="1" customWidth="1"/>
    <col min="2857" max="3072" width="9.140625" style="124"/>
    <col min="3073" max="3099" width="0" style="124" hidden="1" customWidth="1"/>
    <col min="3100" max="3100" width="8.140625" style="124" customWidth="1"/>
    <col min="3101" max="3101" width="48.5703125" style="124" customWidth="1"/>
    <col min="3102" max="3102" width="9.85546875" style="124" customWidth="1"/>
    <col min="3103" max="3103" width="9.5703125" style="124" customWidth="1"/>
    <col min="3104" max="3104" width="9.28515625" style="124" customWidth="1"/>
    <col min="3105" max="3105" width="9.5703125" style="124" customWidth="1"/>
    <col min="3106" max="3106" width="9.140625" style="124"/>
    <col min="3107" max="3107" width="51.85546875" style="124" customWidth="1"/>
    <col min="3108" max="3111" width="9.140625" style="124"/>
    <col min="3112" max="3112" width="0" style="124" hidden="1" customWidth="1"/>
    <col min="3113" max="3328" width="9.140625" style="124"/>
    <col min="3329" max="3355" width="0" style="124" hidden="1" customWidth="1"/>
    <col min="3356" max="3356" width="8.140625" style="124" customWidth="1"/>
    <col min="3357" max="3357" width="48.5703125" style="124" customWidth="1"/>
    <col min="3358" max="3358" width="9.85546875" style="124" customWidth="1"/>
    <col min="3359" max="3359" width="9.5703125" style="124" customWidth="1"/>
    <col min="3360" max="3360" width="9.28515625" style="124" customWidth="1"/>
    <col min="3361" max="3361" width="9.5703125" style="124" customWidth="1"/>
    <col min="3362" max="3362" width="9.140625" style="124"/>
    <col min="3363" max="3363" width="51.85546875" style="124" customWidth="1"/>
    <col min="3364" max="3367" width="9.140625" style="124"/>
    <col min="3368" max="3368" width="0" style="124" hidden="1" customWidth="1"/>
    <col min="3369" max="3584" width="9.140625" style="124"/>
    <col min="3585" max="3611" width="0" style="124" hidden="1" customWidth="1"/>
    <col min="3612" max="3612" width="8.140625" style="124" customWidth="1"/>
    <col min="3613" max="3613" width="48.5703125" style="124" customWidth="1"/>
    <col min="3614" max="3614" width="9.85546875" style="124" customWidth="1"/>
    <col min="3615" max="3615" width="9.5703125" style="124" customWidth="1"/>
    <col min="3616" max="3616" width="9.28515625" style="124" customWidth="1"/>
    <col min="3617" max="3617" width="9.5703125" style="124" customWidth="1"/>
    <col min="3618" max="3618" width="9.140625" style="124"/>
    <col min="3619" max="3619" width="51.85546875" style="124" customWidth="1"/>
    <col min="3620" max="3623" width="9.140625" style="124"/>
    <col min="3624" max="3624" width="0" style="124" hidden="1" customWidth="1"/>
    <col min="3625" max="3840" width="9.140625" style="124"/>
    <col min="3841" max="3867" width="0" style="124" hidden="1" customWidth="1"/>
    <col min="3868" max="3868" width="8.140625" style="124" customWidth="1"/>
    <col min="3869" max="3869" width="48.5703125" style="124" customWidth="1"/>
    <col min="3870" max="3870" width="9.85546875" style="124" customWidth="1"/>
    <col min="3871" max="3871" width="9.5703125" style="124" customWidth="1"/>
    <col min="3872" max="3872" width="9.28515625" style="124" customWidth="1"/>
    <col min="3873" max="3873" width="9.5703125" style="124" customWidth="1"/>
    <col min="3874" max="3874" width="9.140625" style="124"/>
    <col min="3875" max="3875" width="51.85546875" style="124" customWidth="1"/>
    <col min="3876" max="3879" width="9.140625" style="124"/>
    <col min="3880" max="3880" width="0" style="124" hidden="1" customWidth="1"/>
    <col min="3881" max="4096" width="9.140625" style="124"/>
    <col min="4097" max="4123" width="0" style="124" hidden="1" customWidth="1"/>
    <col min="4124" max="4124" width="8.140625" style="124" customWidth="1"/>
    <col min="4125" max="4125" width="48.5703125" style="124" customWidth="1"/>
    <col min="4126" max="4126" width="9.85546875" style="124" customWidth="1"/>
    <col min="4127" max="4127" width="9.5703125" style="124" customWidth="1"/>
    <col min="4128" max="4128" width="9.28515625" style="124" customWidth="1"/>
    <col min="4129" max="4129" width="9.5703125" style="124" customWidth="1"/>
    <col min="4130" max="4130" width="9.140625" style="124"/>
    <col min="4131" max="4131" width="51.85546875" style="124" customWidth="1"/>
    <col min="4132" max="4135" width="9.140625" style="124"/>
    <col min="4136" max="4136" width="0" style="124" hidden="1" customWidth="1"/>
    <col min="4137" max="4352" width="9.140625" style="124"/>
    <col min="4353" max="4379" width="0" style="124" hidden="1" customWidth="1"/>
    <col min="4380" max="4380" width="8.140625" style="124" customWidth="1"/>
    <col min="4381" max="4381" width="48.5703125" style="124" customWidth="1"/>
    <col min="4382" max="4382" width="9.85546875" style="124" customWidth="1"/>
    <col min="4383" max="4383" width="9.5703125" style="124" customWidth="1"/>
    <col min="4384" max="4384" width="9.28515625" style="124" customWidth="1"/>
    <col min="4385" max="4385" width="9.5703125" style="124" customWidth="1"/>
    <col min="4386" max="4386" width="9.140625" style="124"/>
    <col min="4387" max="4387" width="51.85546875" style="124" customWidth="1"/>
    <col min="4388" max="4391" width="9.140625" style="124"/>
    <col min="4392" max="4392" width="0" style="124" hidden="1" customWidth="1"/>
    <col min="4393" max="4608" width="9.140625" style="124"/>
    <col min="4609" max="4635" width="0" style="124" hidden="1" customWidth="1"/>
    <col min="4636" max="4636" width="8.140625" style="124" customWidth="1"/>
    <col min="4637" max="4637" width="48.5703125" style="124" customWidth="1"/>
    <col min="4638" max="4638" width="9.85546875" style="124" customWidth="1"/>
    <col min="4639" max="4639" width="9.5703125" style="124" customWidth="1"/>
    <col min="4640" max="4640" width="9.28515625" style="124" customWidth="1"/>
    <col min="4641" max="4641" width="9.5703125" style="124" customWidth="1"/>
    <col min="4642" max="4642" width="9.140625" style="124"/>
    <col min="4643" max="4643" width="51.85546875" style="124" customWidth="1"/>
    <col min="4644" max="4647" width="9.140625" style="124"/>
    <col min="4648" max="4648" width="0" style="124" hidden="1" customWidth="1"/>
    <col min="4649" max="4864" width="9.140625" style="124"/>
    <col min="4865" max="4891" width="0" style="124" hidden="1" customWidth="1"/>
    <col min="4892" max="4892" width="8.140625" style="124" customWidth="1"/>
    <col min="4893" max="4893" width="48.5703125" style="124" customWidth="1"/>
    <col min="4894" max="4894" width="9.85546875" style="124" customWidth="1"/>
    <col min="4895" max="4895" width="9.5703125" style="124" customWidth="1"/>
    <col min="4896" max="4896" width="9.28515625" style="124" customWidth="1"/>
    <col min="4897" max="4897" width="9.5703125" style="124" customWidth="1"/>
    <col min="4898" max="4898" width="9.140625" style="124"/>
    <col min="4899" max="4899" width="51.85546875" style="124" customWidth="1"/>
    <col min="4900" max="4903" width="9.140625" style="124"/>
    <col min="4904" max="4904" width="0" style="124" hidden="1" customWidth="1"/>
    <col min="4905" max="5120" width="9.140625" style="124"/>
    <col min="5121" max="5147" width="0" style="124" hidden="1" customWidth="1"/>
    <col min="5148" max="5148" width="8.140625" style="124" customWidth="1"/>
    <col min="5149" max="5149" width="48.5703125" style="124" customWidth="1"/>
    <col min="5150" max="5150" width="9.85546875" style="124" customWidth="1"/>
    <col min="5151" max="5151" width="9.5703125" style="124" customWidth="1"/>
    <col min="5152" max="5152" width="9.28515625" style="124" customWidth="1"/>
    <col min="5153" max="5153" width="9.5703125" style="124" customWidth="1"/>
    <col min="5154" max="5154" width="9.140625" style="124"/>
    <col min="5155" max="5155" width="51.85546875" style="124" customWidth="1"/>
    <col min="5156" max="5159" width="9.140625" style="124"/>
    <col min="5160" max="5160" width="0" style="124" hidden="1" customWidth="1"/>
    <col min="5161" max="5376" width="9.140625" style="124"/>
    <col min="5377" max="5403" width="0" style="124" hidden="1" customWidth="1"/>
    <col min="5404" max="5404" width="8.140625" style="124" customWidth="1"/>
    <col min="5405" max="5405" width="48.5703125" style="124" customWidth="1"/>
    <col min="5406" max="5406" width="9.85546875" style="124" customWidth="1"/>
    <col min="5407" max="5407" width="9.5703125" style="124" customWidth="1"/>
    <col min="5408" max="5408" width="9.28515625" style="124" customWidth="1"/>
    <col min="5409" max="5409" width="9.5703125" style="124" customWidth="1"/>
    <col min="5410" max="5410" width="9.140625" style="124"/>
    <col min="5411" max="5411" width="51.85546875" style="124" customWidth="1"/>
    <col min="5412" max="5415" width="9.140625" style="124"/>
    <col min="5416" max="5416" width="0" style="124" hidden="1" customWidth="1"/>
    <col min="5417" max="5632" width="9.140625" style="124"/>
    <col min="5633" max="5659" width="0" style="124" hidden="1" customWidth="1"/>
    <col min="5660" max="5660" width="8.140625" style="124" customWidth="1"/>
    <col min="5661" max="5661" width="48.5703125" style="124" customWidth="1"/>
    <col min="5662" max="5662" width="9.85546875" style="124" customWidth="1"/>
    <col min="5663" max="5663" width="9.5703125" style="124" customWidth="1"/>
    <col min="5664" max="5664" width="9.28515625" style="124" customWidth="1"/>
    <col min="5665" max="5665" width="9.5703125" style="124" customWidth="1"/>
    <col min="5666" max="5666" width="9.140625" style="124"/>
    <col min="5667" max="5667" width="51.85546875" style="124" customWidth="1"/>
    <col min="5668" max="5671" width="9.140625" style="124"/>
    <col min="5672" max="5672" width="0" style="124" hidden="1" customWidth="1"/>
    <col min="5673" max="5888" width="9.140625" style="124"/>
    <col min="5889" max="5915" width="0" style="124" hidden="1" customWidth="1"/>
    <col min="5916" max="5916" width="8.140625" style="124" customWidth="1"/>
    <col min="5917" max="5917" width="48.5703125" style="124" customWidth="1"/>
    <col min="5918" max="5918" width="9.85546875" style="124" customWidth="1"/>
    <col min="5919" max="5919" width="9.5703125" style="124" customWidth="1"/>
    <col min="5920" max="5920" width="9.28515625" style="124" customWidth="1"/>
    <col min="5921" max="5921" width="9.5703125" style="124" customWidth="1"/>
    <col min="5922" max="5922" width="9.140625" style="124"/>
    <col min="5923" max="5923" width="51.85546875" style="124" customWidth="1"/>
    <col min="5924" max="5927" width="9.140625" style="124"/>
    <col min="5928" max="5928" width="0" style="124" hidden="1" customWidth="1"/>
    <col min="5929" max="6144" width="9.140625" style="124"/>
    <col min="6145" max="6171" width="0" style="124" hidden="1" customWidth="1"/>
    <col min="6172" max="6172" width="8.140625" style="124" customWidth="1"/>
    <col min="6173" max="6173" width="48.5703125" style="124" customWidth="1"/>
    <col min="6174" max="6174" width="9.85546875" style="124" customWidth="1"/>
    <col min="6175" max="6175" width="9.5703125" style="124" customWidth="1"/>
    <col min="6176" max="6176" width="9.28515625" style="124" customWidth="1"/>
    <col min="6177" max="6177" width="9.5703125" style="124" customWidth="1"/>
    <col min="6178" max="6178" width="9.140625" style="124"/>
    <col min="6179" max="6179" width="51.85546875" style="124" customWidth="1"/>
    <col min="6180" max="6183" width="9.140625" style="124"/>
    <col min="6184" max="6184" width="0" style="124" hidden="1" customWidth="1"/>
    <col min="6185" max="6400" width="9.140625" style="124"/>
    <col min="6401" max="6427" width="0" style="124" hidden="1" customWidth="1"/>
    <col min="6428" max="6428" width="8.140625" style="124" customWidth="1"/>
    <col min="6429" max="6429" width="48.5703125" style="124" customWidth="1"/>
    <col min="6430" max="6430" width="9.85546875" style="124" customWidth="1"/>
    <col min="6431" max="6431" width="9.5703125" style="124" customWidth="1"/>
    <col min="6432" max="6432" width="9.28515625" style="124" customWidth="1"/>
    <col min="6433" max="6433" width="9.5703125" style="124" customWidth="1"/>
    <col min="6434" max="6434" width="9.140625" style="124"/>
    <col min="6435" max="6435" width="51.85546875" style="124" customWidth="1"/>
    <col min="6436" max="6439" width="9.140625" style="124"/>
    <col min="6440" max="6440" width="0" style="124" hidden="1" customWidth="1"/>
    <col min="6441" max="6656" width="9.140625" style="124"/>
    <col min="6657" max="6683" width="0" style="124" hidden="1" customWidth="1"/>
    <col min="6684" max="6684" width="8.140625" style="124" customWidth="1"/>
    <col min="6685" max="6685" width="48.5703125" style="124" customWidth="1"/>
    <col min="6686" max="6686" width="9.85546875" style="124" customWidth="1"/>
    <col min="6687" max="6687" width="9.5703125" style="124" customWidth="1"/>
    <col min="6688" max="6688" width="9.28515625" style="124" customWidth="1"/>
    <col min="6689" max="6689" width="9.5703125" style="124" customWidth="1"/>
    <col min="6690" max="6690" width="9.140625" style="124"/>
    <col min="6691" max="6691" width="51.85546875" style="124" customWidth="1"/>
    <col min="6692" max="6695" width="9.140625" style="124"/>
    <col min="6696" max="6696" width="0" style="124" hidden="1" customWidth="1"/>
    <col min="6697" max="6912" width="9.140625" style="124"/>
    <col min="6913" max="6939" width="0" style="124" hidden="1" customWidth="1"/>
    <col min="6940" max="6940" width="8.140625" style="124" customWidth="1"/>
    <col min="6941" max="6941" width="48.5703125" style="124" customWidth="1"/>
    <col min="6942" max="6942" width="9.85546875" style="124" customWidth="1"/>
    <col min="6943" max="6943" width="9.5703125" style="124" customWidth="1"/>
    <col min="6944" max="6944" width="9.28515625" style="124" customWidth="1"/>
    <col min="6945" max="6945" width="9.5703125" style="124" customWidth="1"/>
    <col min="6946" max="6946" width="9.140625" style="124"/>
    <col min="6947" max="6947" width="51.85546875" style="124" customWidth="1"/>
    <col min="6948" max="6951" width="9.140625" style="124"/>
    <col min="6952" max="6952" width="0" style="124" hidden="1" customWidth="1"/>
    <col min="6953" max="7168" width="9.140625" style="124"/>
    <col min="7169" max="7195" width="0" style="124" hidden="1" customWidth="1"/>
    <col min="7196" max="7196" width="8.140625" style="124" customWidth="1"/>
    <col min="7197" max="7197" width="48.5703125" style="124" customWidth="1"/>
    <col min="7198" max="7198" width="9.85546875" style="124" customWidth="1"/>
    <col min="7199" max="7199" width="9.5703125" style="124" customWidth="1"/>
    <col min="7200" max="7200" width="9.28515625" style="124" customWidth="1"/>
    <col min="7201" max="7201" width="9.5703125" style="124" customWidth="1"/>
    <col min="7202" max="7202" width="9.140625" style="124"/>
    <col min="7203" max="7203" width="51.85546875" style="124" customWidth="1"/>
    <col min="7204" max="7207" width="9.140625" style="124"/>
    <col min="7208" max="7208" width="0" style="124" hidden="1" customWidth="1"/>
    <col min="7209" max="7424" width="9.140625" style="124"/>
    <col min="7425" max="7451" width="0" style="124" hidden="1" customWidth="1"/>
    <col min="7452" max="7452" width="8.140625" style="124" customWidth="1"/>
    <col min="7453" max="7453" width="48.5703125" style="124" customWidth="1"/>
    <col min="7454" max="7454" width="9.85546875" style="124" customWidth="1"/>
    <col min="7455" max="7455" width="9.5703125" style="124" customWidth="1"/>
    <col min="7456" max="7456" width="9.28515625" style="124" customWidth="1"/>
    <col min="7457" max="7457" width="9.5703125" style="124" customWidth="1"/>
    <col min="7458" max="7458" width="9.140625" style="124"/>
    <col min="7459" max="7459" width="51.85546875" style="124" customWidth="1"/>
    <col min="7460" max="7463" width="9.140625" style="124"/>
    <col min="7464" max="7464" width="0" style="124" hidden="1" customWidth="1"/>
    <col min="7465" max="7680" width="9.140625" style="124"/>
    <col min="7681" max="7707" width="0" style="124" hidden="1" customWidth="1"/>
    <col min="7708" max="7708" width="8.140625" style="124" customWidth="1"/>
    <col min="7709" max="7709" width="48.5703125" style="124" customWidth="1"/>
    <col min="7710" max="7710" width="9.85546875" style="124" customWidth="1"/>
    <col min="7711" max="7711" width="9.5703125" style="124" customWidth="1"/>
    <col min="7712" max="7712" width="9.28515625" style="124" customWidth="1"/>
    <col min="7713" max="7713" width="9.5703125" style="124" customWidth="1"/>
    <col min="7714" max="7714" width="9.140625" style="124"/>
    <col min="7715" max="7715" width="51.85546875" style="124" customWidth="1"/>
    <col min="7716" max="7719" width="9.140625" style="124"/>
    <col min="7720" max="7720" width="0" style="124" hidden="1" customWidth="1"/>
    <col min="7721" max="7936" width="9.140625" style="124"/>
    <col min="7937" max="7963" width="0" style="124" hidden="1" customWidth="1"/>
    <col min="7964" max="7964" width="8.140625" style="124" customWidth="1"/>
    <col min="7965" max="7965" width="48.5703125" style="124" customWidth="1"/>
    <col min="7966" max="7966" width="9.85546875" style="124" customWidth="1"/>
    <col min="7967" max="7967" width="9.5703125" style="124" customWidth="1"/>
    <col min="7968" max="7968" width="9.28515625" style="124" customWidth="1"/>
    <col min="7969" max="7969" width="9.5703125" style="124" customWidth="1"/>
    <col min="7970" max="7970" width="9.140625" style="124"/>
    <col min="7971" max="7971" width="51.85546875" style="124" customWidth="1"/>
    <col min="7972" max="7975" width="9.140625" style="124"/>
    <col min="7976" max="7976" width="0" style="124" hidden="1" customWidth="1"/>
    <col min="7977" max="8192" width="9.140625" style="124"/>
    <col min="8193" max="8219" width="0" style="124" hidden="1" customWidth="1"/>
    <col min="8220" max="8220" width="8.140625" style="124" customWidth="1"/>
    <col min="8221" max="8221" width="48.5703125" style="124" customWidth="1"/>
    <col min="8222" max="8222" width="9.85546875" style="124" customWidth="1"/>
    <col min="8223" max="8223" width="9.5703125" style="124" customWidth="1"/>
    <col min="8224" max="8224" width="9.28515625" style="124" customWidth="1"/>
    <col min="8225" max="8225" width="9.5703125" style="124" customWidth="1"/>
    <col min="8226" max="8226" width="9.140625" style="124"/>
    <col min="8227" max="8227" width="51.85546875" style="124" customWidth="1"/>
    <col min="8228" max="8231" width="9.140625" style="124"/>
    <col min="8232" max="8232" width="0" style="124" hidden="1" customWidth="1"/>
    <col min="8233" max="8448" width="9.140625" style="124"/>
    <col min="8449" max="8475" width="0" style="124" hidden="1" customWidth="1"/>
    <col min="8476" max="8476" width="8.140625" style="124" customWidth="1"/>
    <col min="8477" max="8477" width="48.5703125" style="124" customWidth="1"/>
    <col min="8478" max="8478" width="9.85546875" style="124" customWidth="1"/>
    <col min="8479" max="8479" width="9.5703125" style="124" customWidth="1"/>
    <col min="8480" max="8480" width="9.28515625" style="124" customWidth="1"/>
    <col min="8481" max="8481" width="9.5703125" style="124" customWidth="1"/>
    <col min="8482" max="8482" width="9.140625" style="124"/>
    <col min="8483" max="8483" width="51.85546875" style="124" customWidth="1"/>
    <col min="8484" max="8487" width="9.140625" style="124"/>
    <col min="8488" max="8488" width="0" style="124" hidden="1" customWidth="1"/>
    <col min="8489" max="8704" width="9.140625" style="124"/>
    <col min="8705" max="8731" width="0" style="124" hidden="1" customWidth="1"/>
    <col min="8732" max="8732" width="8.140625" style="124" customWidth="1"/>
    <col min="8733" max="8733" width="48.5703125" style="124" customWidth="1"/>
    <col min="8734" max="8734" width="9.85546875" style="124" customWidth="1"/>
    <col min="8735" max="8735" width="9.5703125" style="124" customWidth="1"/>
    <col min="8736" max="8736" width="9.28515625" style="124" customWidth="1"/>
    <col min="8737" max="8737" width="9.5703125" style="124" customWidth="1"/>
    <col min="8738" max="8738" width="9.140625" style="124"/>
    <col min="8739" max="8739" width="51.85546875" style="124" customWidth="1"/>
    <col min="8740" max="8743" width="9.140625" style="124"/>
    <col min="8744" max="8744" width="0" style="124" hidden="1" customWidth="1"/>
    <col min="8745" max="8960" width="9.140625" style="124"/>
    <col min="8961" max="8987" width="0" style="124" hidden="1" customWidth="1"/>
    <col min="8988" max="8988" width="8.140625" style="124" customWidth="1"/>
    <col min="8989" max="8989" width="48.5703125" style="124" customWidth="1"/>
    <col min="8990" max="8990" width="9.85546875" style="124" customWidth="1"/>
    <col min="8991" max="8991" width="9.5703125" style="124" customWidth="1"/>
    <col min="8992" max="8992" width="9.28515625" style="124" customWidth="1"/>
    <col min="8993" max="8993" width="9.5703125" style="124" customWidth="1"/>
    <col min="8994" max="8994" width="9.140625" style="124"/>
    <col min="8995" max="8995" width="51.85546875" style="124" customWidth="1"/>
    <col min="8996" max="8999" width="9.140625" style="124"/>
    <col min="9000" max="9000" width="0" style="124" hidden="1" customWidth="1"/>
    <col min="9001" max="9216" width="9.140625" style="124"/>
    <col min="9217" max="9243" width="0" style="124" hidden="1" customWidth="1"/>
    <col min="9244" max="9244" width="8.140625" style="124" customWidth="1"/>
    <col min="9245" max="9245" width="48.5703125" style="124" customWidth="1"/>
    <col min="9246" max="9246" width="9.85546875" style="124" customWidth="1"/>
    <col min="9247" max="9247" width="9.5703125" style="124" customWidth="1"/>
    <col min="9248" max="9248" width="9.28515625" style="124" customWidth="1"/>
    <col min="9249" max="9249" width="9.5703125" style="124" customWidth="1"/>
    <col min="9250" max="9250" width="9.140625" style="124"/>
    <col min="9251" max="9251" width="51.85546875" style="124" customWidth="1"/>
    <col min="9252" max="9255" width="9.140625" style="124"/>
    <col min="9256" max="9256" width="0" style="124" hidden="1" customWidth="1"/>
    <col min="9257" max="9472" width="9.140625" style="124"/>
    <col min="9473" max="9499" width="0" style="124" hidden="1" customWidth="1"/>
    <col min="9500" max="9500" width="8.140625" style="124" customWidth="1"/>
    <col min="9501" max="9501" width="48.5703125" style="124" customWidth="1"/>
    <col min="9502" max="9502" width="9.85546875" style="124" customWidth="1"/>
    <col min="9503" max="9503" width="9.5703125" style="124" customWidth="1"/>
    <col min="9504" max="9504" width="9.28515625" style="124" customWidth="1"/>
    <col min="9505" max="9505" width="9.5703125" style="124" customWidth="1"/>
    <col min="9506" max="9506" width="9.140625" style="124"/>
    <col min="9507" max="9507" width="51.85546875" style="124" customWidth="1"/>
    <col min="9508" max="9511" width="9.140625" style="124"/>
    <col min="9512" max="9512" width="0" style="124" hidden="1" customWidth="1"/>
    <col min="9513" max="9728" width="9.140625" style="124"/>
    <col min="9729" max="9755" width="0" style="124" hidden="1" customWidth="1"/>
    <col min="9756" max="9756" width="8.140625" style="124" customWidth="1"/>
    <col min="9757" max="9757" width="48.5703125" style="124" customWidth="1"/>
    <col min="9758" max="9758" width="9.85546875" style="124" customWidth="1"/>
    <col min="9759" max="9759" width="9.5703125" style="124" customWidth="1"/>
    <col min="9760" max="9760" width="9.28515625" style="124" customWidth="1"/>
    <col min="9761" max="9761" width="9.5703125" style="124" customWidth="1"/>
    <col min="9762" max="9762" width="9.140625" style="124"/>
    <col min="9763" max="9763" width="51.85546875" style="124" customWidth="1"/>
    <col min="9764" max="9767" width="9.140625" style="124"/>
    <col min="9768" max="9768" width="0" style="124" hidden="1" customWidth="1"/>
    <col min="9769" max="9984" width="9.140625" style="124"/>
    <col min="9985" max="10011" width="0" style="124" hidden="1" customWidth="1"/>
    <col min="10012" max="10012" width="8.140625" style="124" customWidth="1"/>
    <col min="10013" max="10013" width="48.5703125" style="124" customWidth="1"/>
    <col min="10014" max="10014" width="9.85546875" style="124" customWidth="1"/>
    <col min="10015" max="10015" width="9.5703125" style="124" customWidth="1"/>
    <col min="10016" max="10016" width="9.28515625" style="124" customWidth="1"/>
    <col min="10017" max="10017" width="9.5703125" style="124" customWidth="1"/>
    <col min="10018" max="10018" width="9.140625" style="124"/>
    <col min="10019" max="10019" width="51.85546875" style="124" customWidth="1"/>
    <col min="10020" max="10023" width="9.140625" style="124"/>
    <col min="10024" max="10024" width="0" style="124" hidden="1" customWidth="1"/>
    <col min="10025" max="10240" width="9.140625" style="124"/>
    <col min="10241" max="10267" width="0" style="124" hidden="1" customWidth="1"/>
    <col min="10268" max="10268" width="8.140625" style="124" customWidth="1"/>
    <col min="10269" max="10269" width="48.5703125" style="124" customWidth="1"/>
    <col min="10270" max="10270" width="9.85546875" style="124" customWidth="1"/>
    <col min="10271" max="10271" width="9.5703125" style="124" customWidth="1"/>
    <col min="10272" max="10272" width="9.28515625" style="124" customWidth="1"/>
    <col min="10273" max="10273" width="9.5703125" style="124" customWidth="1"/>
    <col min="10274" max="10274" width="9.140625" style="124"/>
    <col min="10275" max="10275" width="51.85546875" style="124" customWidth="1"/>
    <col min="10276" max="10279" width="9.140625" style="124"/>
    <col min="10280" max="10280" width="0" style="124" hidden="1" customWidth="1"/>
    <col min="10281" max="10496" width="9.140625" style="124"/>
    <col min="10497" max="10523" width="0" style="124" hidden="1" customWidth="1"/>
    <col min="10524" max="10524" width="8.140625" style="124" customWidth="1"/>
    <col min="10525" max="10525" width="48.5703125" style="124" customWidth="1"/>
    <col min="10526" max="10526" width="9.85546875" style="124" customWidth="1"/>
    <col min="10527" max="10527" width="9.5703125" style="124" customWidth="1"/>
    <col min="10528" max="10528" width="9.28515625" style="124" customWidth="1"/>
    <col min="10529" max="10529" width="9.5703125" style="124" customWidth="1"/>
    <col min="10530" max="10530" width="9.140625" style="124"/>
    <col min="10531" max="10531" width="51.85546875" style="124" customWidth="1"/>
    <col min="10532" max="10535" width="9.140625" style="124"/>
    <col min="10536" max="10536" width="0" style="124" hidden="1" customWidth="1"/>
    <col min="10537" max="10752" width="9.140625" style="124"/>
    <col min="10753" max="10779" width="0" style="124" hidden="1" customWidth="1"/>
    <col min="10780" max="10780" width="8.140625" style="124" customWidth="1"/>
    <col min="10781" max="10781" width="48.5703125" style="124" customWidth="1"/>
    <col min="10782" max="10782" width="9.85546875" style="124" customWidth="1"/>
    <col min="10783" max="10783" width="9.5703125" style="124" customWidth="1"/>
    <col min="10784" max="10784" width="9.28515625" style="124" customWidth="1"/>
    <col min="10785" max="10785" width="9.5703125" style="124" customWidth="1"/>
    <col min="10786" max="10786" width="9.140625" style="124"/>
    <col min="10787" max="10787" width="51.85546875" style="124" customWidth="1"/>
    <col min="10788" max="10791" width="9.140625" style="124"/>
    <col min="10792" max="10792" width="0" style="124" hidden="1" customWidth="1"/>
    <col min="10793" max="11008" width="9.140625" style="124"/>
    <col min="11009" max="11035" width="0" style="124" hidden="1" customWidth="1"/>
    <col min="11036" max="11036" width="8.140625" style="124" customWidth="1"/>
    <col min="11037" max="11037" width="48.5703125" style="124" customWidth="1"/>
    <col min="11038" max="11038" width="9.85546875" style="124" customWidth="1"/>
    <col min="11039" max="11039" width="9.5703125" style="124" customWidth="1"/>
    <col min="11040" max="11040" width="9.28515625" style="124" customWidth="1"/>
    <col min="11041" max="11041" width="9.5703125" style="124" customWidth="1"/>
    <col min="11042" max="11042" width="9.140625" style="124"/>
    <col min="11043" max="11043" width="51.85546875" style="124" customWidth="1"/>
    <col min="11044" max="11047" width="9.140625" style="124"/>
    <col min="11048" max="11048" width="0" style="124" hidden="1" customWidth="1"/>
    <col min="11049" max="11264" width="9.140625" style="124"/>
    <col min="11265" max="11291" width="0" style="124" hidden="1" customWidth="1"/>
    <col min="11292" max="11292" width="8.140625" style="124" customWidth="1"/>
    <col min="11293" max="11293" width="48.5703125" style="124" customWidth="1"/>
    <col min="11294" max="11294" width="9.85546875" style="124" customWidth="1"/>
    <col min="11295" max="11295" width="9.5703125" style="124" customWidth="1"/>
    <col min="11296" max="11296" width="9.28515625" style="124" customWidth="1"/>
    <col min="11297" max="11297" width="9.5703125" style="124" customWidth="1"/>
    <col min="11298" max="11298" width="9.140625" style="124"/>
    <col min="11299" max="11299" width="51.85546875" style="124" customWidth="1"/>
    <col min="11300" max="11303" width="9.140625" style="124"/>
    <col min="11304" max="11304" width="0" style="124" hidden="1" customWidth="1"/>
    <col min="11305" max="11520" width="9.140625" style="124"/>
    <col min="11521" max="11547" width="0" style="124" hidden="1" customWidth="1"/>
    <col min="11548" max="11548" width="8.140625" style="124" customWidth="1"/>
    <col min="11549" max="11549" width="48.5703125" style="124" customWidth="1"/>
    <col min="11550" max="11550" width="9.85546875" style="124" customWidth="1"/>
    <col min="11551" max="11551" width="9.5703125" style="124" customWidth="1"/>
    <col min="11552" max="11552" width="9.28515625" style="124" customWidth="1"/>
    <col min="11553" max="11553" width="9.5703125" style="124" customWidth="1"/>
    <col min="11554" max="11554" width="9.140625" style="124"/>
    <col min="11555" max="11555" width="51.85546875" style="124" customWidth="1"/>
    <col min="11556" max="11559" width="9.140625" style="124"/>
    <col min="11560" max="11560" width="0" style="124" hidden="1" customWidth="1"/>
    <col min="11561" max="11776" width="9.140625" style="124"/>
    <col min="11777" max="11803" width="0" style="124" hidden="1" customWidth="1"/>
    <col min="11804" max="11804" width="8.140625" style="124" customWidth="1"/>
    <col min="11805" max="11805" width="48.5703125" style="124" customWidth="1"/>
    <col min="11806" max="11806" width="9.85546875" style="124" customWidth="1"/>
    <col min="11807" max="11807" width="9.5703125" style="124" customWidth="1"/>
    <col min="11808" max="11808" width="9.28515625" style="124" customWidth="1"/>
    <col min="11809" max="11809" width="9.5703125" style="124" customWidth="1"/>
    <col min="11810" max="11810" width="9.140625" style="124"/>
    <col min="11811" max="11811" width="51.85546875" style="124" customWidth="1"/>
    <col min="11812" max="11815" width="9.140625" style="124"/>
    <col min="11816" max="11816" width="0" style="124" hidden="1" customWidth="1"/>
    <col min="11817" max="12032" width="9.140625" style="124"/>
    <col min="12033" max="12059" width="0" style="124" hidden="1" customWidth="1"/>
    <col min="12060" max="12060" width="8.140625" style="124" customWidth="1"/>
    <col min="12061" max="12061" width="48.5703125" style="124" customWidth="1"/>
    <col min="12062" max="12062" width="9.85546875" style="124" customWidth="1"/>
    <col min="12063" max="12063" width="9.5703125" style="124" customWidth="1"/>
    <col min="12064" max="12064" width="9.28515625" style="124" customWidth="1"/>
    <col min="12065" max="12065" width="9.5703125" style="124" customWidth="1"/>
    <col min="12066" max="12066" width="9.140625" style="124"/>
    <col min="12067" max="12067" width="51.85546875" style="124" customWidth="1"/>
    <col min="12068" max="12071" width="9.140625" style="124"/>
    <col min="12072" max="12072" width="0" style="124" hidden="1" customWidth="1"/>
    <col min="12073" max="12288" width="9.140625" style="124"/>
    <col min="12289" max="12315" width="0" style="124" hidden="1" customWidth="1"/>
    <col min="12316" max="12316" width="8.140625" style="124" customWidth="1"/>
    <col min="12317" max="12317" width="48.5703125" style="124" customWidth="1"/>
    <col min="12318" max="12318" width="9.85546875" style="124" customWidth="1"/>
    <col min="12319" max="12319" width="9.5703125" style="124" customWidth="1"/>
    <col min="12320" max="12320" width="9.28515625" style="124" customWidth="1"/>
    <col min="12321" max="12321" width="9.5703125" style="124" customWidth="1"/>
    <col min="12322" max="12322" width="9.140625" style="124"/>
    <col min="12323" max="12323" width="51.85546875" style="124" customWidth="1"/>
    <col min="12324" max="12327" width="9.140625" style="124"/>
    <col min="12328" max="12328" width="0" style="124" hidden="1" customWidth="1"/>
    <col min="12329" max="12544" width="9.140625" style="124"/>
    <col min="12545" max="12571" width="0" style="124" hidden="1" customWidth="1"/>
    <col min="12572" max="12572" width="8.140625" style="124" customWidth="1"/>
    <col min="12573" max="12573" width="48.5703125" style="124" customWidth="1"/>
    <col min="12574" max="12574" width="9.85546875" style="124" customWidth="1"/>
    <col min="12575" max="12575" width="9.5703125" style="124" customWidth="1"/>
    <col min="12576" max="12576" width="9.28515625" style="124" customWidth="1"/>
    <col min="12577" max="12577" width="9.5703125" style="124" customWidth="1"/>
    <col min="12578" max="12578" width="9.140625" style="124"/>
    <col min="12579" max="12579" width="51.85546875" style="124" customWidth="1"/>
    <col min="12580" max="12583" width="9.140625" style="124"/>
    <col min="12584" max="12584" width="0" style="124" hidden="1" customWidth="1"/>
    <col min="12585" max="12800" width="9.140625" style="124"/>
    <col min="12801" max="12827" width="0" style="124" hidden="1" customWidth="1"/>
    <col min="12828" max="12828" width="8.140625" style="124" customWidth="1"/>
    <col min="12829" max="12829" width="48.5703125" style="124" customWidth="1"/>
    <col min="12830" max="12830" width="9.85546875" style="124" customWidth="1"/>
    <col min="12831" max="12831" width="9.5703125" style="124" customWidth="1"/>
    <col min="12832" max="12832" width="9.28515625" style="124" customWidth="1"/>
    <col min="12833" max="12833" width="9.5703125" style="124" customWidth="1"/>
    <col min="12834" max="12834" width="9.140625" style="124"/>
    <col min="12835" max="12835" width="51.85546875" style="124" customWidth="1"/>
    <col min="12836" max="12839" width="9.140625" style="124"/>
    <col min="12840" max="12840" width="0" style="124" hidden="1" customWidth="1"/>
    <col min="12841" max="13056" width="9.140625" style="124"/>
    <col min="13057" max="13083" width="0" style="124" hidden="1" customWidth="1"/>
    <col min="13084" max="13084" width="8.140625" style="124" customWidth="1"/>
    <col min="13085" max="13085" width="48.5703125" style="124" customWidth="1"/>
    <col min="13086" max="13086" width="9.85546875" style="124" customWidth="1"/>
    <col min="13087" max="13087" width="9.5703125" style="124" customWidth="1"/>
    <col min="13088" max="13088" width="9.28515625" style="124" customWidth="1"/>
    <col min="13089" max="13089" width="9.5703125" style="124" customWidth="1"/>
    <col min="13090" max="13090" width="9.140625" style="124"/>
    <col min="13091" max="13091" width="51.85546875" style="124" customWidth="1"/>
    <col min="13092" max="13095" width="9.140625" style="124"/>
    <col min="13096" max="13096" width="0" style="124" hidden="1" customWidth="1"/>
    <col min="13097" max="13312" width="9.140625" style="124"/>
    <col min="13313" max="13339" width="0" style="124" hidden="1" customWidth="1"/>
    <col min="13340" max="13340" width="8.140625" style="124" customWidth="1"/>
    <col min="13341" max="13341" width="48.5703125" style="124" customWidth="1"/>
    <col min="13342" max="13342" width="9.85546875" style="124" customWidth="1"/>
    <col min="13343" max="13343" width="9.5703125" style="124" customWidth="1"/>
    <col min="13344" max="13344" width="9.28515625" style="124" customWidth="1"/>
    <col min="13345" max="13345" width="9.5703125" style="124" customWidth="1"/>
    <col min="13346" max="13346" width="9.140625" style="124"/>
    <col min="13347" max="13347" width="51.85546875" style="124" customWidth="1"/>
    <col min="13348" max="13351" width="9.140625" style="124"/>
    <col min="13352" max="13352" width="0" style="124" hidden="1" customWidth="1"/>
    <col min="13353" max="13568" width="9.140625" style="124"/>
    <col min="13569" max="13595" width="0" style="124" hidden="1" customWidth="1"/>
    <col min="13596" max="13596" width="8.140625" style="124" customWidth="1"/>
    <col min="13597" max="13597" width="48.5703125" style="124" customWidth="1"/>
    <col min="13598" max="13598" width="9.85546875" style="124" customWidth="1"/>
    <col min="13599" max="13599" width="9.5703125" style="124" customWidth="1"/>
    <col min="13600" max="13600" width="9.28515625" style="124" customWidth="1"/>
    <col min="13601" max="13601" width="9.5703125" style="124" customWidth="1"/>
    <col min="13602" max="13602" width="9.140625" style="124"/>
    <col min="13603" max="13603" width="51.85546875" style="124" customWidth="1"/>
    <col min="13604" max="13607" width="9.140625" style="124"/>
    <col min="13608" max="13608" width="0" style="124" hidden="1" customWidth="1"/>
    <col min="13609" max="13824" width="9.140625" style="124"/>
    <col min="13825" max="13851" width="0" style="124" hidden="1" customWidth="1"/>
    <col min="13852" max="13852" width="8.140625" style="124" customWidth="1"/>
    <col min="13853" max="13853" width="48.5703125" style="124" customWidth="1"/>
    <col min="13854" max="13854" width="9.85546875" style="124" customWidth="1"/>
    <col min="13855" max="13855" width="9.5703125" style="124" customWidth="1"/>
    <col min="13856" max="13856" width="9.28515625" style="124" customWidth="1"/>
    <col min="13857" max="13857" width="9.5703125" style="124" customWidth="1"/>
    <col min="13858" max="13858" width="9.140625" style="124"/>
    <col min="13859" max="13859" width="51.85546875" style="124" customWidth="1"/>
    <col min="13860" max="13863" width="9.140625" style="124"/>
    <col min="13864" max="13864" width="0" style="124" hidden="1" customWidth="1"/>
    <col min="13865" max="14080" width="9.140625" style="124"/>
    <col min="14081" max="14107" width="0" style="124" hidden="1" customWidth="1"/>
    <col min="14108" max="14108" width="8.140625" style="124" customWidth="1"/>
    <col min="14109" max="14109" width="48.5703125" style="124" customWidth="1"/>
    <col min="14110" max="14110" width="9.85546875" style="124" customWidth="1"/>
    <col min="14111" max="14111" width="9.5703125" style="124" customWidth="1"/>
    <col min="14112" max="14112" width="9.28515625" style="124" customWidth="1"/>
    <col min="14113" max="14113" width="9.5703125" style="124" customWidth="1"/>
    <col min="14114" max="14114" width="9.140625" style="124"/>
    <col min="14115" max="14115" width="51.85546875" style="124" customWidth="1"/>
    <col min="14116" max="14119" width="9.140625" style="124"/>
    <col min="14120" max="14120" width="0" style="124" hidden="1" customWidth="1"/>
    <col min="14121" max="14336" width="9.140625" style="124"/>
    <col min="14337" max="14363" width="0" style="124" hidden="1" customWidth="1"/>
    <col min="14364" max="14364" width="8.140625" style="124" customWidth="1"/>
    <col min="14365" max="14365" width="48.5703125" style="124" customWidth="1"/>
    <col min="14366" max="14366" width="9.85546875" style="124" customWidth="1"/>
    <col min="14367" max="14367" width="9.5703125" style="124" customWidth="1"/>
    <col min="14368" max="14368" width="9.28515625" style="124" customWidth="1"/>
    <col min="14369" max="14369" width="9.5703125" style="124" customWidth="1"/>
    <col min="14370" max="14370" width="9.140625" style="124"/>
    <col min="14371" max="14371" width="51.85546875" style="124" customWidth="1"/>
    <col min="14372" max="14375" width="9.140625" style="124"/>
    <col min="14376" max="14376" width="0" style="124" hidden="1" customWidth="1"/>
    <col min="14377" max="14592" width="9.140625" style="124"/>
    <col min="14593" max="14619" width="0" style="124" hidden="1" customWidth="1"/>
    <col min="14620" max="14620" width="8.140625" style="124" customWidth="1"/>
    <col min="14621" max="14621" width="48.5703125" style="124" customWidth="1"/>
    <col min="14622" max="14622" width="9.85546875" style="124" customWidth="1"/>
    <col min="14623" max="14623" width="9.5703125" style="124" customWidth="1"/>
    <col min="14624" max="14624" width="9.28515625" style="124" customWidth="1"/>
    <col min="14625" max="14625" width="9.5703125" style="124" customWidth="1"/>
    <col min="14626" max="14626" width="9.140625" style="124"/>
    <col min="14627" max="14627" width="51.85546875" style="124" customWidth="1"/>
    <col min="14628" max="14631" width="9.140625" style="124"/>
    <col min="14632" max="14632" width="0" style="124" hidden="1" customWidth="1"/>
    <col min="14633" max="14848" width="9.140625" style="124"/>
    <col min="14849" max="14875" width="0" style="124" hidden="1" customWidth="1"/>
    <col min="14876" max="14876" width="8.140625" style="124" customWidth="1"/>
    <col min="14877" max="14877" width="48.5703125" style="124" customWidth="1"/>
    <col min="14878" max="14878" width="9.85546875" style="124" customWidth="1"/>
    <col min="14879" max="14879" width="9.5703125" style="124" customWidth="1"/>
    <col min="14880" max="14880" width="9.28515625" style="124" customWidth="1"/>
    <col min="14881" max="14881" width="9.5703125" style="124" customWidth="1"/>
    <col min="14882" max="14882" width="9.140625" style="124"/>
    <col min="14883" max="14883" width="51.85546875" style="124" customWidth="1"/>
    <col min="14884" max="14887" width="9.140625" style="124"/>
    <col min="14888" max="14888" width="0" style="124" hidden="1" customWidth="1"/>
    <col min="14889" max="15104" width="9.140625" style="124"/>
    <col min="15105" max="15131" width="0" style="124" hidden="1" customWidth="1"/>
    <col min="15132" max="15132" width="8.140625" style="124" customWidth="1"/>
    <col min="15133" max="15133" width="48.5703125" style="124" customWidth="1"/>
    <col min="15134" max="15134" width="9.85546875" style="124" customWidth="1"/>
    <col min="15135" max="15135" width="9.5703125" style="124" customWidth="1"/>
    <col min="15136" max="15136" width="9.28515625" style="124" customWidth="1"/>
    <col min="15137" max="15137" width="9.5703125" style="124" customWidth="1"/>
    <col min="15138" max="15138" width="9.140625" style="124"/>
    <col min="15139" max="15139" width="51.85546875" style="124" customWidth="1"/>
    <col min="15140" max="15143" width="9.140625" style="124"/>
    <col min="15144" max="15144" width="0" style="124" hidden="1" customWidth="1"/>
    <col min="15145" max="15360" width="9.140625" style="124"/>
    <col min="15361" max="15387" width="0" style="124" hidden="1" customWidth="1"/>
    <col min="15388" max="15388" width="8.140625" style="124" customWidth="1"/>
    <col min="15389" max="15389" width="48.5703125" style="124" customWidth="1"/>
    <col min="15390" max="15390" width="9.85546875" style="124" customWidth="1"/>
    <col min="15391" max="15391" width="9.5703125" style="124" customWidth="1"/>
    <col min="15392" max="15392" width="9.28515625" style="124" customWidth="1"/>
    <col min="15393" max="15393" width="9.5703125" style="124" customWidth="1"/>
    <col min="15394" max="15394" width="9.140625" style="124"/>
    <col min="15395" max="15395" width="51.85546875" style="124" customWidth="1"/>
    <col min="15396" max="15399" width="9.140625" style="124"/>
    <col min="15400" max="15400" width="0" style="124" hidden="1" customWidth="1"/>
    <col min="15401" max="15616" width="9.140625" style="124"/>
    <col min="15617" max="15643" width="0" style="124" hidden="1" customWidth="1"/>
    <col min="15644" max="15644" width="8.140625" style="124" customWidth="1"/>
    <col min="15645" max="15645" width="48.5703125" style="124" customWidth="1"/>
    <col min="15646" max="15646" width="9.85546875" style="124" customWidth="1"/>
    <col min="15647" max="15647" width="9.5703125" style="124" customWidth="1"/>
    <col min="15648" max="15648" width="9.28515625" style="124" customWidth="1"/>
    <col min="15649" max="15649" width="9.5703125" style="124" customWidth="1"/>
    <col min="15650" max="15650" width="9.140625" style="124"/>
    <col min="15651" max="15651" width="51.85546875" style="124" customWidth="1"/>
    <col min="15652" max="15655" width="9.140625" style="124"/>
    <col min="15656" max="15656" width="0" style="124" hidden="1" customWidth="1"/>
    <col min="15657" max="15872" width="9.140625" style="124"/>
    <col min="15873" max="15899" width="0" style="124" hidden="1" customWidth="1"/>
    <col min="15900" max="15900" width="8.140625" style="124" customWidth="1"/>
    <col min="15901" max="15901" width="48.5703125" style="124" customWidth="1"/>
    <col min="15902" max="15902" width="9.85546875" style="124" customWidth="1"/>
    <col min="15903" max="15903" width="9.5703125" style="124" customWidth="1"/>
    <col min="15904" max="15904" width="9.28515625" style="124" customWidth="1"/>
    <col min="15905" max="15905" width="9.5703125" style="124" customWidth="1"/>
    <col min="15906" max="15906" width="9.140625" style="124"/>
    <col min="15907" max="15907" width="51.85546875" style="124" customWidth="1"/>
    <col min="15908" max="15911" width="9.140625" style="124"/>
    <col min="15912" max="15912" width="0" style="124" hidden="1" customWidth="1"/>
    <col min="15913" max="16128" width="9.140625" style="124"/>
    <col min="16129" max="16155" width="0" style="124" hidden="1" customWidth="1"/>
    <col min="16156" max="16156" width="8.140625" style="124" customWidth="1"/>
    <col min="16157" max="16157" width="48.5703125" style="124" customWidth="1"/>
    <col min="16158" max="16158" width="9.85546875" style="124" customWidth="1"/>
    <col min="16159" max="16159" width="9.5703125" style="124" customWidth="1"/>
    <col min="16160" max="16160" width="9.28515625" style="124" customWidth="1"/>
    <col min="16161" max="16161" width="9.5703125" style="124" customWidth="1"/>
    <col min="16162" max="16162" width="9.140625" style="124"/>
    <col min="16163" max="16163" width="51.85546875" style="124" customWidth="1"/>
    <col min="16164" max="16167" width="9.140625" style="124"/>
    <col min="16168" max="16168" width="0" style="124" hidden="1" customWidth="1"/>
    <col min="16169" max="16384" width="9.140625" style="124"/>
  </cols>
  <sheetData>
    <row r="1" spans="1:40" ht="27.75" customHeight="1" x14ac:dyDescent="0.3">
      <c r="A1" s="4"/>
      <c r="B1" s="4"/>
      <c r="C1" s="154"/>
      <c r="D1" s="154"/>
      <c r="E1" s="154"/>
      <c r="F1" s="154"/>
      <c r="G1" s="154"/>
      <c r="H1" s="154"/>
      <c r="I1" s="154"/>
      <c r="J1" s="154"/>
      <c r="K1" s="154"/>
      <c r="L1" s="154"/>
      <c r="M1" s="154"/>
      <c r="N1" s="154"/>
      <c r="O1" s="235" t="s">
        <v>1103</v>
      </c>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row>
    <row r="2" spans="1:40" ht="26.25" customHeight="1" x14ac:dyDescent="0.3">
      <c r="A2" s="4"/>
      <c r="B2" s="4"/>
      <c r="C2" s="154"/>
      <c r="D2" s="154"/>
      <c r="E2" s="154"/>
      <c r="F2" s="154"/>
      <c r="G2" s="154"/>
      <c r="H2" s="154"/>
      <c r="I2" s="154"/>
      <c r="J2" s="154"/>
      <c r="K2" s="154"/>
      <c r="L2" s="154"/>
      <c r="M2" s="154"/>
      <c r="N2" s="154"/>
      <c r="O2" s="282" t="s">
        <v>655</v>
      </c>
      <c r="P2" s="282"/>
      <c r="Q2" s="282"/>
      <c r="R2" s="282"/>
      <c r="S2" s="282"/>
      <c r="T2" s="282"/>
      <c r="U2" s="282"/>
      <c r="V2" s="282"/>
      <c r="W2" s="282"/>
      <c r="X2" s="282"/>
      <c r="Y2" s="282"/>
      <c r="Z2" s="282"/>
      <c r="AA2" s="282"/>
      <c r="AB2" s="282"/>
      <c r="AC2" s="282"/>
      <c r="AD2" s="282"/>
      <c r="AE2" s="282"/>
      <c r="AF2" s="282"/>
      <c r="AG2" s="282"/>
      <c r="AH2" s="282"/>
      <c r="AI2" s="282"/>
      <c r="AJ2" s="282"/>
      <c r="AK2" s="282"/>
      <c r="AL2" s="282"/>
      <c r="AM2" s="282"/>
    </row>
    <row r="3" spans="1:40" ht="18.75" customHeight="1" x14ac:dyDescent="0.3">
      <c r="A3" s="283" t="s">
        <v>297</v>
      </c>
      <c r="B3" s="283"/>
      <c r="C3" s="283"/>
      <c r="D3" s="283"/>
      <c r="E3" s="283"/>
      <c r="F3" s="283"/>
      <c r="G3" s="283" t="s">
        <v>298</v>
      </c>
      <c r="H3" s="283"/>
      <c r="I3" s="283"/>
      <c r="J3" s="283"/>
      <c r="K3" s="284" t="s">
        <v>299</v>
      </c>
      <c r="L3" s="284"/>
      <c r="M3" s="284"/>
      <c r="N3" s="284"/>
      <c r="O3" s="283" t="s">
        <v>0</v>
      </c>
      <c r="P3" s="283" t="s">
        <v>1</v>
      </c>
      <c r="Q3" s="283" t="s">
        <v>2</v>
      </c>
      <c r="R3" s="283"/>
      <c r="S3" s="283"/>
      <c r="T3" s="283"/>
      <c r="U3" s="284" t="s">
        <v>299</v>
      </c>
      <c r="V3" s="284"/>
      <c r="W3" s="284"/>
      <c r="X3" s="284"/>
      <c r="Y3" s="283" t="s">
        <v>300</v>
      </c>
      <c r="Z3" s="283" t="s">
        <v>74</v>
      </c>
      <c r="AA3" s="283" t="s">
        <v>301</v>
      </c>
      <c r="AB3" s="285" t="s">
        <v>0</v>
      </c>
      <c r="AC3" s="285" t="s">
        <v>1</v>
      </c>
      <c r="AD3" s="285" t="s">
        <v>2</v>
      </c>
      <c r="AE3" s="285"/>
      <c r="AF3" s="285"/>
      <c r="AG3" s="285"/>
      <c r="AH3" s="285" t="s">
        <v>0</v>
      </c>
      <c r="AI3" s="285" t="s">
        <v>1</v>
      </c>
      <c r="AJ3" s="285" t="s">
        <v>946</v>
      </c>
      <c r="AK3" s="285"/>
      <c r="AL3" s="285"/>
      <c r="AM3" s="158"/>
      <c r="AN3" s="285" t="s">
        <v>74</v>
      </c>
    </row>
    <row r="4" spans="1:40" ht="18.75" customHeight="1" x14ac:dyDescent="0.3">
      <c r="A4" s="155" t="s">
        <v>0</v>
      </c>
      <c r="B4" s="155" t="s">
        <v>302</v>
      </c>
      <c r="C4" s="155" t="s">
        <v>3</v>
      </c>
      <c r="D4" s="155" t="s">
        <v>4</v>
      </c>
      <c r="E4" s="155" t="s">
        <v>5</v>
      </c>
      <c r="F4" s="155" t="s">
        <v>6</v>
      </c>
      <c r="G4" s="155"/>
      <c r="H4" s="155"/>
      <c r="I4" s="155"/>
      <c r="J4" s="155"/>
      <c r="K4" s="155"/>
      <c r="L4" s="155"/>
      <c r="M4" s="155"/>
      <c r="N4" s="155"/>
      <c r="O4" s="283"/>
      <c r="P4" s="283"/>
      <c r="Q4" s="155" t="s">
        <v>3</v>
      </c>
      <c r="R4" s="155" t="s">
        <v>4</v>
      </c>
      <c r="S4" s="155" t="s">
        <v>5</v>
      </c>
      <c r="T4" s="155" t="s">
        <v>6</v>
      </c>
      <c r="U4" s="155" t="s">
        <v>3</v>
      </c>
      <c r="V4" s="155" t="s">
        <v>4</v>
      </c>
      <c r="W4" s="155" t="s">
        <v>5</v>
      </c>
      <c r="X4" s="155" t="s">
        <v>6</v>
      </c>
      <c r="Y4" s="283"/>
      <c r="Z4" s="283"/>
      <c r="AA4" s="283"/>
      <c r="AB4" s="285"/>
      <c r="AC4" s="285"/>
      <c r="AD4" s="157" t="s">
        <v>3</v>
      </c>
      <c r="AE4" s="157" t="s">
        <v>4</v>
      </c>
      <c r="AF4" s="157" t="s">
        <v>5</v>
      </c>
      <c r="AG4" s="157" t="s">
        <v>6</v>
      </c>
      <c r="AH4" s="285"/>
      <c r="AI4" s="285"/>
      <c r="AJ4" s="157" t="s">
        <v>3</v>
      </c>
      <c r="AK4" s="157" t="s">
        <v>4</v>
      </c>
      <c r="AL4" s="157" t="s">
        <v>5</v>
      </c>
      <c r="AM4" s="157" t="s">
        <v>6</v>
      </c>
      <c r="AN4" s="285"/>
    </row>
    <row r="5" spans="1:40" ht="24.75" customHeight="1" x14ac:dyDescent="0.3">
      <c r="A5" s="156"/>
      <c r="B5" s="156"/>
      <c r="C5" s="156"/>
      <c r="D5" s="156"/>
      <c r="E5" s="156"/>
      <c r="F5" s="156"/>
      <c r="G5" s="156"/>
      <c r="H5" s="156"/>
      <c r="I5" s="156"/>
      <c r="J5" s="156"/>
      <c r="K5" s="156"/>
      <c r="L5" s="156"/>
      <c r="M5" s="156"/>
      <c r="N5" s="156"/>
      <c r="O5" s="159"/>
      <c r="P5" s="155" t="s">
        <v>303</v>
      </c>
      <c r="Q5" s="159"/>
      <c r="R5" s="159"/>
      <c r="S5" s="159"/>
      <c r="T5" s="159"/>
      <c r="U5" s="156"/>
      <c r="V5" s="156"/>
      <c r="W5" s="156"/>
      <c r="X5" s="156"/>
      <c r="Y5" s="154"/>
      <c r="Z5" s="160"/>
      <c r="AA5" s="4"/>
      <c r="AB5" s="157"/>
      <c r="AC5" s="157" t="s">
        <v>303</v>
      </c>
      <c r="AD5" s="157"/>
      <c r="AE5" s="157"/>
      <c r="AF5" s="157"/>
      <c r="AG5" s="157"/>
      <c r="AH5" s="157"/>
      <c r="AI5" s="157" t="s">
        <v>303</v>
      </c>
      <c r="AJ5" s="157"/>
      <c r="AK5" s="157"/>
      <c r="AL5" s="157"/>
      <c r="AM5" s="157"/>
      <c r="AN5" s="161"/>
    </row>
    <row r="6" spans="1:40" s="40" customFormat="1" ht="30" customHeight="1" x14ac:dyDescent="0.25">
      <c r="A6" s="156" t="s">
        <v>7</v>
      </c>
      <c r="B6" s="156" t="s">
        <v>179</v>
      </c>
      <c r="C6" s="156"/>
      <c r="D6" s="156"/>
      <c r="E6" s="156"/>
      <c r="F6" s="156"/>
      <c r="G6" s="156"/>
      <c r="H6" s="156"/>
      <c r="I6" s="156"/>
      <c r="J6" s="156"/>
      <c r="K6" s="156"/>
      <c r="L6" s="156"/>
      <c r="M6" s="156"/>
      <c r="N6" s="156"/>
      <c r="O6" s="156" t="s">
        <v>7</v>
      </c>
      <c r="P6" s="162" t="s">
        <v>304</v>
      </c>
      <c r="Q6" s="156"/>
      <c r="R6" s="156"/>
      <c r="S6" s="156"/>
      <c r="T6" s="156"/>
      <c r="U6" s="156"/>
      <c r="V6" s="156"/>
      <c r="W6" s="156"/>
      <c r="X6" s="156"/>
      <c r="Y6" s="154"/>
      <c r="Z6" s="154"/>
      <c r="AA6" s="154"/>
      <c r="AB6" s="163" t="s">
        <v>7</v>
      </c>
      <c r="AC6" s="164" t="s">
        <v>305</v>
      </c>
      <c r="AD6" s="97"/>
      <c r="AE6" s="163"/>
      <c r="AF6" s="163"/>
      <c r="AG6" s="163"/>
      <c r="AH6" s="163" t="s">
        <v>7</v>
      </c>
      <c r="AI6" s="164" t="s">
        <v>305</v>
      </c>
      <c r="AJ6" s="97"/>
      <c r="AK6" s="163"/>
      <c r="AL6" s="163"/>
      <c r="AM6" s="163"/>
      <c r="AN6" s="165"/>
    </row>
    <row r="7" spans="1:40" s="40" customFormat="1" ht="85.5" hidden="1" customHeight="1" x14ac:dyDescent="0.25">
      <c r="A7" s="154">
        <v>1</v>
      </c>
      <c r="B7" s="166" t="s">
        <v>306</v>
      </c>
      <c r="C7" s="167">
        <v>7000</v>
      </c>
      <c r="D7" s="167">
        <v>3500</v>
      </c>
      <c r="E7" s="167">
        <v>2300</v>
      </c>
      <c r="F7" s="167">
        <v>1700</v>
      </c>
      <c r="G7" s="167">
        <v>18000</v>
      </c>
      <c r="H7" s="167">
        <v>4000</v>
      </c>
      <c r="I7" s="167">
        <v>2300</v>
      </c>
      <c r="J7" s="167">
        <v>1700</v>
      </c>
      <c r="K7" s="168">
        <f>(G7/C7%)-100</f>
        <v>157.14285714285717</v>
      </c>
      <c r="L7" s="168">
        <f>(H7/D7%)-100</f>
        <v>14.285714285714292</v>
      </c>
      <c r="M7" s="168">
        <f>(I7/E7%)-100</f>
        <v>0</v>
      </c>
      <c r="N7" s="168">
        <f>(J7/F7%)-100</f>
        <v>0</v>
      </c>
      <c r="O7" s="154">
        <v>1</v>
      </c>
      <c r="P7" s="166" t="s">
        <v>180</v>
      </c>
      <c r="Q7" s="167">
        <v>14000</v>
      </c>
      <c r="R7" s="167">
        <v>5000</v>
      </c>
      <c r="S7" s="167">
        <v>3300</v>
      </c>
      <c r="T7" s="167">
        <v>2300</v>
      </c>
      <c r="U7" s="168">
        <f t="shared" ref="U7:X14" si="0">(Q7/C7%)-100</f>
        <v>100</v>
      </c>
      <c r="V7" s="168">
        <f t="shared" si="0"/>
        <v>42.857142857142861</v>
      </c>
      <c r="W7" s="168">
        <f t="shared" si="0"/>
        <v>43.478260869565219</v>
      </c>
      <c r="X7" s="168">
        <f t="shared" si="0"/>
        <v>35.294117647058812</v>
      </c>
      <c r="Y7" s="154" t="s">
        <v>307</v>
      </c>
      <c r="Z7" s="169"/>
      <c r="AA7" s="167" t="s">
        <v>308</v>
      </c>
      <c r="AB7" s="170">
        <v>1</v>
      </c>
      <c r="AC7" s="171" t="s">
        <v>180</v>
      </c>
      <c r="AD7" s="170"/>
      <c r="AE7" s="170"/>
      <c r="AF7" s="170"/>
      <c r="AG7" s="170"/>
      <c r="AH7" s="170">
        <v>1</v>
      </c>
      <c r="AI7" s="171" t="s">
        <v>180</v>
      </c>
      <c r="AJ7" s="170"/>
      <c r="AK7" s="170"/>
      <c r="AL7" s="170"/>
      <c r="AM7" s="170"/>
      <c r="AN7" s="165"/>
    </row>
    <row r="8" spans="1:40" ht="85.5" hidden="1" customHeight="1" x14ac:dyDescent="0.3">
      <c r="A8" s="172">
        <v>2</v>
      </c>
      <c r="B8" s="166" t="s">
        <v>181</v>
      </c>
      <c r="C8" s="41">
        <v>6300</v>
      </c>
      <c r="D8" s="41">
        <v>3500</v>
      </c>
      <c r="E8" s="41">
        <v>2300</v>
      </c>
      <c r="F8" s="41">
        <v>1700</v>
      </c>
      <c r="G8" s="41">
        <v>16000</v>
      </c>
      <c r="H8" s="41">
        <v>3500</v>
      </c>
      <c r="I8" s="41">
        <v>2300</v>
      </c>
      <c r="J8" s="41">
        <v>1700</v>
      </c>
      <c r="K8" s="168">
        <f t="shared" ref="K8:N9" si="1">(G8/C8%)-100</f>
        <v>153.96825396825398</v>
      </c>
      <c r="L8" s="168">
        <f t="shared" si="1"/>
        <v>0</v>
      </c>
      <c r="M8" s="168">
        <f t="shared" si="1"/>
        <v>0</v>
      </c>
      <c r="N8" s="168">
        <f t="shared" si="1"/>
        <v>0</v>
      </c>
      <c r="O8" s="172">
        <v>2</v>
      </c>
      <c r="P8" s="166" t="s">
        <v>181</v>
      </c>
      <c r="Q8" s="167">
        <v>12000</v>
      </c>
      <c r="R8" s="167">
        <v>5000</v>
      </c>
      <c r="S8" s="167">
        <v>3300</v>
      </c>
      <c r="T8" s="167">
        <v>2300</v>
      </c>
      <c r="U8" s="168">
        <f t="shared" si="0"/>
        <v>90.476190476190482</v>
      </c>
      <c r="V8" s="168">
        <f t="shared" si="0"/>
        <v>42.857142857142861</v>
      </c>
      <c r="W8" s="168">
        <f t="shared" si="0"/>
        <v>43.478260869565219</v>
      </c>
      <c r="X8" s="168">
        <f t="shared" si="0"/>
        <v>35.294117647058812</v>
      </c>
      <c r="Y8" s="154" t="s">
        <v>307</v>
      </c>
      <c r="Z8" s="169"/>
      <c r="AA8" s="4"/>
      <c r="AB8" s="173">
        <v>2</v>
      </c>
      <c r="AC8" s="171" t="s">
        <v>181</v>
      </c>
      <c r="AD8" s="170"/>
      <c r="AE8" s="170"/>
      <c r="AF8" s="170"/>
      <c r="AG8" s="170"/>
      <c r="AH8" s="173">
        <v>2</v>
      </c>
      <c r="AI8" s="171" t="s">
        <v>181</v>
      </c>
      <c r="AJ8" s="170"/>
      <c r="AK8" s="170"/>
      <c r="AL8" s="170"/>
      <c r="AM8" s="170"/>
      <c r="AN8" s="161"/>
    </row>
    <row r="9" spans="1:40" ht="47.25" hidden="1" x14ac:dyDescent="0.3">
      <c r="A9" s="154">
        <v>3</v>
      </c>
      <c r="B9" s="166" t="s">
        <v>183</v>
      </c>
      <c r="C9" s="41">
        <v>3100</v>
      </c>
      <c r="D9" s="41">
        <v>1500</v>
      </c>
      <c r="E9" s="41">
        <v>800</v>
      </c>
      <c r="F9" s="41">
        <v>420</v>
      </c>
      <c r="G9" s="41">
        <v>8000</v>
      </c>
      <c r="H9" s="41">
        <v>1500</v>
      </c>
      <c r="I9" s="41">
        <v>800</v>
      </c>
      <c r="J9" s="41">
        <v>600</v>
      </c>
      <c r="K9" s="168">
        <f t="shared" si="1"/>
        <v>158.06451612903226</v>
      </c>
      <c r="L9" s="168">
        <f t="shared" si="1"/>
        <v>0</v>
      </c>
      <c r="M9" s="168">
        <f t="shared" si="1"/>
        <v>0</v>
      </c>
      <c r="N9" s="168">
        <f t="shared" si="1"/>
        <v>42.857142857142861</v>
      </c>
      <c r="O9" s="154">
        <v>3</v>
      </c>
      <c r="P9" s="166" t="s">
        <v>183</v>
      </c>
      <c r="Q9" s="167">
        <v>8000</v>
      </c>
      <c r="R9" s="167">
        <v>2300</v>
      </c>
      <c r="S9" s="167">
        <v>1100</v>
      </c>
      <c r="T9" s="167">
        <v>550</v>
      </c>
      <c r="U9" s="168">
        <f t="shared" si="0"/>
        <v>158.06451612903226</v>
      </c>
      <c r="V9" s="168">
        <f t="shared" si="0"/>
        <v>53.333333333333343</v>
      </c>
      <c r="W9" s="168">
        <f t="shared" si="0"/>
        <v>37.5</v>
      </c>
      <c r="X9" s="168">
        <f t="shared" si="0"/>
        <v>30.952380952380935</v>
      </c>
      <c r="Y9" s="154" t="s">
        <v>307</v>
      </c>
      <c r="Z9" s="160"/>
      <c r="AA9" s="167" t="s">
        <v>308</v>
      </c>
      <c r="AB9" s="170">
        <v>3</v>
      </c>
      <c r="AC9" s="171" t="s">
        <v>183</v>
      </c>
      <c r="AD9" s="170"/>
      <c r="AE9" s="170"/>
      <c r="AF9" s="170"/>
      <c r="AG9" s="170"/>
      <c r="AH9" s="170">
        <v>3</v>
      </c>
      <c r="AI9" s="171" t="s">
        <v>183</v>
      </c>
      <c r="AJ9" s="170"/>
      <c r="AK9" s="170"/>
      <c r="AL9" s="170"/>
      <c r="AM9" s="170"/>
      <c r="AN9" s="161"/>
    </row>
    <row r="10" spans="1:40" ht="64.5" hidden="1" customHeight="1" x14ac:dyDescent="0.3">
      <c r="A10" s="172">
        <v>4</v>
      </c>
      <c r="B10" s="166" t="s">
        <v>309</v>
      </c>
      <c r="C10" s="41">
        <v>2000</v>
      </c>
      <c r="D10" s="41">
        <v>1150</v>
      </c>
      <c r="E10" s="41">
        <v>600</v>
      </c>
      <c r="F10" s="41">
        <v>360</v>
      </c>
      <c r="G10" s="41">
        <v>6000</v>
      </c>
      <c r="H10" s="41">
        <v>1150</v>
      </c>
      <c r="I10" s="41">
        <v>800</v>
      </c>
      <c r="J10" s="41">
        <v>600</v>
      </c>
      <c r="K10" s="168">
        <f>G10/C10%-100</f>
        <v>200</v>
      </c>
      <c r="L10" s="168">
        <f>H10/D10%-100</f>
        <v>0</v>
      </c>
      <c r="M10" s="168">
        <f>I10/E10%-100</f>
        <v>33.333333333333343</v>
      </c>
      <c r="N10" s="168">
        <f>J10/F10%-100</f>
        <v>66.666666666666657</v>
      </c>
      <c r="O10" s="172">
        <v>4</v>
      </c>
      <c r="P10" s="166" t="s">
        <v>185</v>
      </c>
      <c r="Q10" s="167">
        <v>5000</v>
      </c>
      <c r="R10" s="167">
        <v>1600</v>
      </c>
      <c r="S10" s="167">
        <v>800</v>
      </c>
      <c r="T10" s="167">
        <v>450</v>
      </c>
      <c r="U10" s="168">
        <f t="shared" si="0"/>
        <v>150</v>
      </c>
      <c r="V10" s="168">
        <f t="shared" si="0"/>
        <v>39.130434782608688</v>
      </c>
      <c r="W10" s="168">
        <f t="shared" si="0"/>
        <v>33.333333333333343</v>
      </c>
      <c r="X10" s="168">
        <f t="shared" si="0"/>
        <v>25</v>
      </c>
      <c r="Y10" s="154" t="s">
        <v>307</v>
      </c>
      <c r="Z10" s="172" t="s">
        <v>310</v>
      </c>
      <c r="AA10" s="4"/>
      <c r="AB10" s="173">
        <v>4</v>
      </c>
      <c r="AC10" s="171" t="s">
        <v>185</v>
      </c>
      <c r="AD10" s="170"/>
      <c r="AE10" s="170"/>
      <c r="AF10" s="170"/>
      <c r="AG10" s="170"/>
      <c r="AH10" s="173">
        <v>4</v>
      </c>
      <c r="AI10" s="171" t="s">
        <v>185</v>
      </c>
      <c r="AJ10" s="170"/>
      <c r="AK10" s="170"/>
      <c r="AL10" s="170"/>
      <c r="AM10" s="170"/>
      <c r="AN10" s="161"/>
    </row>
    <row r="11" spans="1:40" ht="42" hidden="1" customHeight="1" x14ac:dyDescent="0.3">
      <c r="A11" s="154">
        <v>5</v>
      </c>
      <c r="B11" s="166" t="s">
        <v>187</v>
      </c>
      <c r="C11" s="41">
        <v>5700</v>
      </c>
      <c r="D11" s="41">
        <v>3000</v>
      </c>
      <c r="E11" s="41"/>
      <c r="F11" s="41"/>
      <c r="G11" s="41">
        <v>14000</v>
      </c>
      <c r="H11" s="41"/>
      <c r="I11" s="41"/>
      <c r="J11" s="41"/>
      <c r="K11" s="168">
        <f>(G11/C11%)-100</f>
        <v>145.61403508771929</v>
      </c>
      <c r="L11" s="168"/>
      <c r="M11" s="168"/>
      <c r="N11" s="168"/>
      <c r="O11" s="154">
        <v>5</v>
      </c>
      <c r="P11" s="166" t="s">
        <v>187</v>
      </c>
      <c r="Q11" s="167">
        <v>10000</v>
      </c>
      <c r="R11" s="167">
        <v>4000</v>
      </c>
      <c r="S11" s="167"/>
      <c r="T11" s="167"/>
      <c r="U11" s="168">
        <f t="shared" si="0"/>
        <v>75.438596491228083</v>
      </c>
      <c r="V11" s="168">
        <f t="shared" si="0"/>
        <v>33.333333333333343</v>
      </c>
      <c r="W11" s="168"/>
      <c r="X11" s="168"/>
      <c r="Y11" s="154" t="s">
        <v>307</v>
      </c>
      <c r="Z11" s="160"/>
      <c r="AA11" s="167" t="s">
        <v>308</v>
      </c>
      <c r="AB11" s="170">
        <v>5</v>
      </c>
      <c r="AC11" s="171" t="s">
        <v>187</v>
      </c>
      <c r="AD11" s="170"/>
      <c r="AE11" s="170"/>
      <c r="AF11" s="170"/>
      <c r="AG11" s="170"/>
      <c r="AH11" s="170">
        <v>5</v>
      </c>
      <c r="AI11" s="171" t="s">
        <v>187</v>
      </c>
      <c r="AJ11" s="170"/>
      <c r="AK11" s="170"/>
      <c r="AL11" s="170"/>
      <c r="AM11" s="170"/>
      <c r="AN11" s="161"/>
    </row>
    <row r="12" spans="1:40" ht="69.75" hidden="1" customHeight="1" x14ac:dyDescent="0.3">
      <c r="A12" s="172">
        <v>6</v>
      </c>
      <c r="B12" s="166" t="s">
        <v>188</v>
      </c>
      <c r="C12" s="41">
        <v>5700</v>
      </c>
      <c r="D12" s="41">
        <v>2400</v>
      </c>
      <c r="E12" s="41">
        <v>1180</v>
      </c>
      <c r="F12" s="41">
        <v>600</v>
      </c>
      <c r="G12" s="41">
        <v>16000</v>
      </c>
      <c r="H12" s="41">
        <v>3500</v>
      </c>
      <c r="I12" s="41">
        <v>1180</v>
      </c>
      <c r="J12" s="41">
        <v>600</v>
      </c>
      <c r="K12" s="168">
        <f>(G12/C12%)-100</f>
        <v>180.70175438596493</v>
      </c>
      <c r="L12" s="168">
        <f>(H12/D12%)-100</f>
        <v>45.833333333333343</v>
      </c>
      <c r="M12" s="168">
        <f>(I12/E12%)-100</f>
        <v>0</v>
      </c>
      <c r="N12" s="168">
        <f>(J12/F12%)-100</f>
        <v>0</v>
      </c>
      <c r="O12" s="172">
        <v>6</v>
      </c>
      <c r="P12" s="174" t="s">
        <v>188</v>
      </c>
      <c r="Q12" s="167">
        <v>11000</v>
      </c>
      <c r="R12" s="167">
        <v>3500</v>
      </c>
      <c r="S12" s="167">
        <v>1500</v>
      </c>
      <c r="T12" s="167">
        <v>750</v>
      </c>
      <c r="U12" s="168">
        <f t="shared" si="0"/>
        <v>92.982456140350877</v>
      </c>
      <c r="V12" s="168">
        <f t="shared" si="0"/>
        <v>45.833333333333343</v>
      </c>
      <c r="W12" s="168">
        <f t="shared" si="0"/>
        <v>27.118644067796609</v>
      </c>
      <c r="X12" s="168">
        <f t="shared" si="0"/>
        <v>25</v>
      </c>
      <c r="Y12" s="154" t="s">
        <v>307</v>
      </c>
      <c r="Z12" s="160"/>
      <c r="AA12" s="167" t="s">
        <v>308</v>
      </c>
      <c r="AB12" s="173">
        <v>6</v>
      </c>
      <c r="AC12" s="175" t="s">
        <v>188</v>
      </c>
      <c r="AD12" s="170"/>
      <c r="AE12" s="170"/>
      <c r="AF12" s="170"/>
      <c r="AG12" s="170"/>
      <c r="AH12" s="173">
        <v>6</v>
      </c>
      <c r="AI12" s="175" t="s">
        <v>188</v>
      </c>
      <c r="AJ12" s="170"/>
      <c r="AK12" s="170"/>
      <c r="AL12" s="170"/>
      <c r="AM12" s="170"/>
      <c r="AN12" s="161"/>
    </row>
    <row r="13" spans="1:40" ht="47.25" hidden="1" x14ac:dyDescent="0.3">
      <c r="A13" s="154">
        <v>7</v>
      </c>
      <c r="B13" s="166" t="s">
        <v>190</v>
      </c>
      <c r="C13" s="41">
        <v>3100</v>
      </c>
      <c r="D13" s="41">
        <v>1800</v>
      </c>
      <c r="E13" s="41">
        <v>1200</v>
      </c>
      <c r="F13" s="41">
        <v>360</v>
      </c>
      <c r="G13" s="41"/>
      <c r="H13" s="41"/>
      <c r="I13" s="41"/>
      <c r="J13" s="41"/>
      <c r="K13" s="168"/>
      <c r="L13" s="168"/>
      <c r="M13" s="168"/>
      <c r="N13" s="168"/>
      <c r="O13" s="154">
        <v>7</v>
      </c>
      <c r="P13" s="166" t="s">
        <v>190</v>
      </c>
      <c r="Q13" s="167">
        <v>8000</v>
      </c>
      <c r="R13" s="167">
        <f>Q13*50%</f>
        <v>4000</v>
      </c>
      <c r="S13" s="167">
        <v>1700</v>
      </c>
      <c r="T13" s="167">
        <v>500</v>
      </c>
      <c r="U13" s="168">
        <f t="shared" si="0"/>
        <v>158.06451612903226</v>
      </c>
      <c r="V13" s="168">
        <f t="shared" si="0"/>
        <v>122.22222222222223</v>
      </c>
      <c r="W13" s="168">
        <f t="shared" si="0"/>
        <v>41.666666666666657</v>
      </c>
      <c r="X13" s="168">
        <f t="shared" si="0"/>
        <v>38.888888888888886</v>
      </c>
      <c r="Y13" s="154" t="s">
        <v>307</v>
      </c>
      <c r="Z13" s="166"/>
      <c r="AA13" s="4"/>
      <c r="AB13" s="170">
        <v>7</v>
      </c>
      <c r="AC13" s="171" t="s">
        <v>190</v>
      </c>
      <c r="AD13" s="170"/>
      <c r="AE13" s="170"/>
      <c r="AF13" s="170"/>
      <c r="AG13" s="170"/>
      <c r="AH13" s="170">
        <v>7</v>
      </c>
      <c r="AI13" s="171" t="s">
        <v>190</v>
      </c>
      <c r="AJ13" s="170"/>
      <c r="AK13" s="170"/>
      <c r="AL13" s="170"/>
      <c r="AM13" s="170"/>
      <c r="AN13" s="176"/>
    </row>
    <row r="14" spans="1:40" ht="42.75" customHeight="1" x14ac:dyDescent="0.3">
      <c r="A14" s="154">
        <v>8</v>
      </c>
      <c r="B14" s="166" t="s">
        <v>311</v>
      </c>
      <c r="C14" s="167">
        <v>3100</v>
      </c>
      <c r="D14" s="167">
        <v>1800</v>
      </c>
      <c r="E14" s="167">
        <v>1200</v>
      </c>
      <c r="F14" s="167">
        <v>360</v>
      </c>
      <c r="G14" s="41"/>
      <c r="H14" s="41"/>
      <c r="I14" s="41"/>
      <c r="J14" s="41"/>
      <c r="K14" s="168"/>
      <c r="L14" s="168"/>
      <c r="M14" s="168"/>
      <c r="N14" s="168"/>
      <c r="O14" s="154">
        <v>1</v>
      </c>
      <c r="P14" s="174" t="s">
        <v>312</v>
      </c>
      <c r="Q14" s="167">
        <v>800</v>
      </c>
      <c r="R14" s="167"/>
      <c r="S14" s="167"/>
      <c r="T14" s="167"/>
      <c r="U14" s="168">
        <f>(Q14/C14%)-100</f>
        <v>-74.193548387096769</v>
      </c>
      <c r="V14" s="168">
        <f>(R14/D14%)-100</f>
        <v>-100</v>
      </c>
      <c r="W14" s="168">
        <f t="shared" si="0"/>
        <v>-100</v>
      </c>
      <c r="X14" s="168">
        <f t="shared" si="0"/>
        <v>-100</v>
      </c>
      <c r="Y14" s="154" t="s">
        <v>307</v>
      </c>
      <c r="Z14" s="286" t="s">
        <v>313</v>
      </c>
      <c r="AA14" s="287" t="s">
        <v>308</v>
      </c>
      <c r="AB14" s="170">
        <v>1</v>
      </c>
      <c r="AC14" s="175" t="s">
        <v>314</v>
      </c>
      <c r="AD14" s="170">
        <f t="shared" ref="AD14:AD19" si="2">Q14*1.1</f>
        <v>880.00000000000011</v>
      </c>
      <c r="AE14" s="170"/>
      <c r="AF14" s="170"/>
      <c r="AG14" s="170"/>
      <c r="AH14" s="170">
        <v>1</v>
      </c>
      <c r="AI14" s="175" t="s">
        <v>314</v>
      </c>
      <c r="AJ14" s="170">
        <f>AD14*0.7</f>
        <v>616</v>
      </c>
      <c r="AK14" s="170"/>
      <c r="AL14" s="170"/>
      <c r="AM14" s="170"/>
      <c r="AN14" s="176" t="s">
        <v>315</v>
      </c>
    </row>
    <row r="15" spans="1:40" ht="63.75" customHeight="1" x14ac:dyDescent="0.3">
      <c r="A15" s="154"/>
      <c r="B15" s="166"/>
      <c r="C15" s="167"/>
      <c r="D15" s="167"/>
      <c r="E15" s="167"/>
      <c r="F15" s="167"/>
      <c r="G15" s="41"/>
      <c r="H15" s="41"/>
      <c r="I15" s="41"/>
      <c r="J15" s="41"/>
      <c r="K15" s="168"/>
      <c r="L15" s="168"/>
      <c r="M15" s="168"/>
      <c r="N15" s="168"/>
      <c r="O15" s="154">
        <v>2</v>
      </c>
      <c r="P15" s="166" t="s">
        <v>316</v>
      </c>
      <c r="Q15" s="167">
        <v>965</v>
      </c>
      <c r="R15" s="167"/>
      <c r="S15" s="167"/>
      <c r="T15" s="167"/>
      <c r="U15" s="168"/>
      <c r="V15" s="168"/>
      <c r="W15" s="168"/>
      <c r="X15" s="168"/>
      <c r="Y15" s="154"/>
      <c r="Z15" s="286"/>
      <c r="AA15" s="287"/>
      <c r="AB15" s="170">
        <v>2</v>
      </c>
      <c r="AC15" s="171" t="s">
        <v>317</v>
      </c>
      <c r="AD15" s="170">
        <f t="shared" si="2"/>
        <v>1061.5</v>
      </c>
      <c r="AE15" s="170"/>
      <c r="AF15" s="170"/>
      <c r="AG15" s="170"/>
      <c r="AH15" s="170">
        <v>2</v>
      </c>
      <c r="AI15" s="171" t="s">
        <v>317</v>
      </c>
      <c r="AJ15" s="170">
        <f t="shared" ref="AJ15:AJ78" si="3">AD15*0.7</f>
        <v>743.05</v>
      </c>
      <c r="AK15" s="170"/>
      <c r="AL15" s="170"/>
      <c r="AM15" s="170"/>
      <c r="AN15" s="176" t="s">
        <v>318</v>
      </c>
    </row>
    <row r="16" spans="1:40" ht="72.75" customHeight="1" x14ac:dyDescent="0.3">
      <c r="A16" s="154"/>
      <c r="B16" s="166"/>
      <c r="C16" s="167"/>
      <c r="D16" s="167"/>
      <c r="E16" s="167"/>
      <c r="F16" s="167"/>
      <c r="G16" s="41"/>
      <c r="H16" s="41"/>
      <c r="I16" s="41"/>
      <c r="J16" s="41"/>
      <c r="K16" s="168"/>
      <c r="L16" s="168"/>
      <c r="M16" s="168"/>
      <c r="N16" s="168"/>
      <c r="O16" s="154">
        <v>3</v>
      </c>
      <c r="P16" s="166" t="s">
        <v>319</v>
      </c>
      <c r="Q16" s="167">
        <v>1260</v>
      </c>
      <c r="R16" s="167"/>
      <c r="S16" s="167"/>
      <c r="T16" s="167"/>
      <c r="U16" s="168"/>
      <c r="V16" s="168"/>
      <c r="W16" s="168"/>
      <c r="X16" s="168"/>
      <c r="Y16" s="154"/>
      <c r="Z16" s="286"/>
      <c r="AA16" s="287"/>
      <c r="AB16" s="170">
        <v>3</v>
      </c>
      <c r="AC16" s="171" t="s">
        <v>320</v>
      </c>
      <c r="AD16" s="170">
        <f t="shared" si="2"/>
        <v>1386</v>
      </c>
      <c r="AE16" s="170"/>
      <c r="AF16" s="170"/>
      <c r="AG16" s="170"/>
      <c r="AH16" s="170">
        <v>3</v>
      </c>
      <c r="AI16" s="171" t="s">
        <v>320</v>
      </c>
      <c r="AJ16" s="170">
        <f t="shared" si="3"/>
        <v>970.19999999999993</v>
      </c>
      <c r="AK16" s="170"/>
      <c r="AL16" s="170"/>
      <c r="AM16" s="170"/>
      <c r="AN16" s="176" t="s">
        <v>318</v>
      </c>
    </row>
    <row r="17" spans="1:40" ht="65.25" customHeight="1" x14ac:dyDescent="0.3">
      <c r="A17" s="154"/>
      <c r="B17" s="166"/>
      <c r="C17" s="167"/>
      <c r="D17" s="167"/>
      <c r="E17" s="167"/>
      <c r="F17" s="167"/>
      <c r="G17" s="41"/>
      <c r="H17" s="41"/>
      <c r="I17" s="41"/>
      <c r="J17" s="41"/>
      <c r="K17" s="168"/>
      <c r="L17" s="168"/>
      <c r="M17" s="168"/>
      <c r="N17" s="168"/>
      <c r="O17" s="154">
        <v>4</v>
      </c>
      <c r="P17" s="166" t="s">
        <v>321</v>
      </c>
      <c r="Q17" s="167">
        <v>1220</v>
      </c>
      <c r="R17" s="167"/>
      <c r="S17" s="167"/>
      <c r="T17" s="167"/>
      <c r="U17" s="168"/>
      <c r="V17" s="168"/>
      <c r="W17" s="168"/>
      <c r="X17" s="168"/>
      <c r="Y17" s="154"/>
      <c r="Z17" s="286"/>
      <c r="AA17" s="287"/>
      <c r="AB17" s="170">
        <v>4</v>
      </c>
      <c r="AC17" s="171" t="s">
        <v>322</v>
      </c>
      <c r="AD17" s="170">
        <f t="shared" si="2"/>
        <v>1342</v>
      </c>
      <c r="AE17" s="170"/>
      <c r="AF17" s="170"/>
      <c r="AG17" s="170"/>
      <c r="AH17" s="170">
        <v>4</v>
      </c>
      <c r="AI17" s="171" t="s">
        <v>322</v>
      </c>
      <c r="AJ17" s="170">
        <f t="shared" si="3"/>
        <v>939.4</v>
      </c>
      <c r="AK17" s="170"/>
      <c r="AL17" s="170"/>
      <c r="AM17" s="170"/>
      <c r="AN17" s="176" t="s">
        <v>318</v>
      </c>
    </row>
    <row r="18" spans="1:40" ht="47.25" customHeight="1" x14ac:dyDescent="0.3">
      <c r="A18" s="154"/>
      <c r="B18" s="166"/>
      <c r="C18" s="167"/>
      <c r="D18" s="167"/>
      <c r="E18" s="167"/>
      <c r="F18" s="167"/>
      <c r="G18" s="41"/>
      <c r="H18" s="41"/>
      <c r="I18" s="41"/>
      <c r="J18" s="41"/>
      <c r="K18" s="168"/>
      <c r="L18" s="168"/>
      <c r="M18" s="168"/>
      <c r="N18" s="168"/>
      <c r="O18" s="154">
        <v>5</v>
      </c>
      <c r="P18" s="166" t="s">
        <v>323</v>
      </c>
      <c r="Q18" s="167">
        <v>645</v>
      </c>
      <c r="R18" s="167"/>
      <c r="S18" s="167"/>
      <c r="T18" s="167"/>
      <c r="U18" s="168"/>
      <c r="V18" s="168"/>
      <c r="W18" s="168"/>
      <c r="X18" s="168"/>
      <c r="Y18" s="154"/>
      <c r="Z18" s="286"/>
      <c r="AA18" s="287"/>
      <c r="AB18" s="170">
        <v>5</v>
      </c>
      <c r="AC18" s="171" t="s">
        <v>324</v>
      </c>
      <c r="AD18" s="170">
        <f t="shared" si="2"/>
        <v>709.50000000000011</v>
      </c>
      <c r="AE18" s="170"/>
      <c r="AF18" s="170"/>
      <c r="AG18" s="170"/>
      <c r="AH18" s="170">
        <v>5</v>
      </c>
      <c r="AI18" s="171" t="s">
        <v>324</v>
      </c>
      <c r="AJ18" s="170">
        <f t="shared" si="3"/>
        <v>496.65000000000003</v>
      </c>
      <c r="AK18" s="170"/>
      <c r="AL18" s="170"/>
      <c r="AM18" s="170"/>
      <c r="AN18" s="176" t="s">
        <v>318</v>
      </c>
    </row>
    <row r="19" spans="1:40" ht="44.25" customHeight="1" x14ac:dyDescent="0.3">
      <c r="A19" s="154"/>
      <c r="B19" s="166"/>
      <c r="C19" s="167"/>
      <c r="D19" s="167"/>
      <c r="E19" s="167"/>
      <c r="F19" s="167"/>
      <c r="G19" s="41"/>
      <c r="H19" s="41"/>
      <c r="I19" s="41"/>
      <c r="J19" s="41"/>
      <c r="K19" s="168"/>
      <c r="L19" s="168"/>
      <c r="M19" s="168"/>
      <c r="N19" s="168"/>
      <c r="O19" s="154">
        <v>6</v>
      </c>
      <c r="P19" s="166" t="s">
        <v>325</v>
      </c>
      <c r="Q19" s="167">
        <v>450</v>
      </c>
      <c r="R19" s="167"/>
      <c r="S19" s="167"/>
      <c r="T19" s="167"/>
      <c r="U19" s="168"/>
      <c r="V19" s="168"/>
      <c r="W19" s="168"/>
      <c r="X19" s="168"/>
      <c r="Y19" s="154"/>
      <c r="Z19" s="286"/>
      <c r="AA19" s="287"/>
      <c r="AB19" s="170">
        <v>6</v>
      </c>
      <c r="AC19" s="171" t="s">
        <v>326</v>
      </c>
      <c r="AD19" s="170">
        <f t="shared" si="2"/>
        <v>495.00000000000006</v>
      </c>
      <c r="AE19" s="170"/>
      <c r="AF19" s="170"/>
      <c r="AG19" s="170"/>
      <c r="AH19" s="170">
        <v>6</v>
      </c>
      <c r="AI19" s="171" t="s">
        <v>326</v>
      </c>
      <c r="AJ19" s="170">
        <f t="shared" si="3"/>
        <v>346.5</v>
      </c>
      <c r="AK19" s="170"/>
      <c r="AL19" s="170"/>
      <c r="AM19" s="170"/>
      <c r="AN19" s="176" t="s">
        <v>318</v>
      </c>
    </row>
    <row r="20" spans="1:40" ht="31.5" customHeight="1" x14ac:dyDescent="0.3">
      <c r="A20" s="154"/>
      <c r="B20" s="166"/>
      <c r="C20" s="167"/>
      <c r="D20" s="167"/>
      <c r="E20" s="167"/>
      <c r="F20" s="167"/>
      <c r="G20" s="41"/>
      <c r="H20" s="41"/>
      <c r="I20" s="41"/>
      <c r="J20" s="41"/>
      <c r="K20" s="168"/>
      <c r="L20" s="168"/>
      <c r="M20" s="168"/>
      <c r="N20" s="168"/>
      <c r="O20" s="154" t="s">
        <v>14</v>
      </c>
      <c r="P20" s="162" t="s">
        <v>327</v>
      </c>
      <c r="Q20" s="167"/>
      <c r="R20" s="167"/>
      <c r="S20" s="167"/>
      <c r="T20" s="167"/>
      <c r="U20" s="168"/>
      <c r="V20" s="168"/>
      <c r="W20" s="168"/>
      <c r="X20" s="168"/>
      <c r="Y20" s="154"/>
      <c r="Z20" s="286"/>
      <c r="AA20" s="287"/>
      <c r="AB20" s="163" t="s">
        <v>14</v>
      </c>
      <c r="AC20" s="164" t="s">
        <v>327</v>
      </c>
      <c r="AD20" s="170"/>
      <c r="AE20" s="170"/>
      <c r="AF20" s="170"/>
      <c r="AG20" s="170"/>
      <c r="AH20" s="163" t="s">
        <v>14</v>
      </c>
      <c r="AI20" s="164" t="s">
        <v>327</v>
      </c>
      <c r="AJ20" s="170"/>
      <c r="AK20" s="170"/>
      <c r="AL20" s="170"/>
      <c r="AM20" s="170"/>
      <c r="AN20" s="176"/>
    </row>
    <row r="21" spans="1:40" ht="51" customHeight="1" x14ac:dyDescent="0.3">
      <c r="A21" s="154"/>
      <c r="B21" s="166"/>
      <c r="C21" s="167"/>
      <c r="D21" s="167"/>
      <c r="E21" s="167"/>
      <c r="F21" s="167"/>
      <c r="G21" s="41"/>
      <c r="H21" s="41"/>
      <c r="I21" s="41"/>
      <c r="J21" s="41"/>
      <c r="K21" s="168"/>
      <c r="L21" s="168"/>
      <c r="M21" s="168"/>
      <c r="N21" s="168"/>
      <c r="O21" s="154">
        <v>1</v>
      </c>
      <c r="P21" s="166" t="s">
        <v>328</v>
      </c>
      <c r="Q21" s="167">
        <v>1080</v>
      </c>
      <c r="R21" s="167"/>
      <c r="S21" s="167"/>
      <c r="T21" s="167"/>
      <c r="U21" s="168"/>
      <c r="V21" s="168"/>
      <c r="W21" s="168"/>
      <c r="X21" s="168"/>
      <c r="Y21" s="154"/>
      <c r="Z21" s="286"/>
      <c r="AA21" s="287"/>
      <c r="AB21" s="170">
        <v>1</v>
      </c>
      <c r="AC21" s="171" t="s">
        <v>329</v>
      </c>
      <c r="AD21" s="170">
        <f>Q21*1.1</f>
        <v>1188</v>
      </c>
      <c r="AE21" s="170"/>
      <c r="AF21" s="170"/>
      <c r="AG21" s="170"/>
      <c r="AH21" s="170">
        <v>1</v>
      </c>
      <c r="AI21" s="171" t="s">
        <v>329</v>
      </c>
      <c r="AJ21" s="170">
        <f t="shared" si="3"/>
        <v>831.59999999999991</v>
      </c>
      <c r="AK21" s="170"/>
      <c r="AL21" s="170"/>
      <c r="AM21" s="170"/>
      <c r="AN21" s="176" t="s">
        <v>318</v>
      </c>
    </row>
    <row r="22" spans="1:40" ht="51" customHeight="1" x14ac:dyDescent="0.3">
      <c r="A22" s="154"/>
      <c r="B22" s="166"/>
      <c r="C22" s="167"/>
      <c r="D22" s="167"/>
      <c r="E22" s="167"/>
      <c r="F22" s="167"/>
      <c r="G22" s="41"/>
      <c r="H22" s="41"/>
      <c r="I22" s="41"/>
      <c r="J22" s="41"/>
      <c r="K22" s="168"/>
      <c r="L22" s="168"/>
      <c r="M22" s="168"/>
      <c r="N22" s="168"/>
      <c r="O22" s="154">
        <v>2</v>
      </c>
      <c r="P22" s="166" t="s">
        <v>330</v>
      </c>
      <c r="Q22" s="167">
        <v>965</v>
      </c>
      <c r="R22" s="167"/>
      <c r="S22" s="167"/>
      <c r="T22" s="167"/>
      <c r="U22" s="168"/>
      <c r="V22" s="168"/>
      <c r="W22" s="168"/>
      <c r="X22" s="168"/>
      <c r="Y22" s="154"/>
      <c r="Z22" s="286"/>
      <c r="AA22" s="287"/>
      <c r="AB22" s="170">
        <v>2</v>
      </c>
      <c r="AC22" s="171" t="s">
        <v>331</v>
      </c>
      <c r="AD22" s="170">
        <f>Q22*1.1</f>
        <v>1061.5</v>
      </c>
      <c r="AE22" s="170"/>
      <c r="AF22" s="170"/>
      <c r="AG22" s="170"/>
      <c r="AH22" s="170">
        <v>2</v>
      </c>
      <c r="AI22" s="171" t="s">
        <v>331</v>
      </c>
      <c r="AJ22" s="170">
        <f t="shared" si="3"/>
        <v>743.05</v>
      </c>
      <c r="AK22" s="170"/>
      <c r="AL22" s="170"/>
      <c r="AM22" s="170"/>
      <c r="AN22" s="176" t="s">
        <v>318</v>
      </c>
    </row>
    <row r="23" spans="1:40" ht="51" customHeight="1" x14ac:dyDescent="0.3">
      <c r="A23" s="154"/>
      <c r="B23" s="166"/>
      <c r="C23" s="167"/>
      <c r="D23" s="167"/>
      <c r="E23" s="167"/>
      <c r="F23" s="167"/>
      <c r="G23" s="41"/>
      <c r="H23" s="41"/>
      <c r="I23" s="41"/>
      <c r="J23" s="41"/>
      <c r="K23" s="168"/>
      <c r="L23" s="168"/>
      <c r="M23" s="168"/>
      <c r="N23" s="168"/>
      <c r="O23" s="154">
        <v>3</v>
      </c>
      <c r="P23" s="166" t="s">
        <v>332</v>
      </c>
      <c r="Q23" s="167">
        <v>965</v>
      </c>
      <c r="R23" s="167"/>
      <c r="S23" s="167"/>
      <c r="T23" s="167"/>
      <c r="U23" s="168"/>
      <c r="V23" s="168"/>
      <c r="W23" s="168"/>
      <c r="X23" s="168"/>
      <c r="Y23" s="154"/>
      <c r="Z23" s="286"/>
      <c r="AA23" s="287"/>
      <c r="AB23" s="170">
        <v>3</v>
      </c>
      <c r="AC23" s="171" t="s">
        <v>333</v>
      </c>
      <c r="AD23" s="170">
        <v>1461</v>
      </c>
      <c r="AE23" s="170"/>
      <c r="AF23" s="170"/>
      <c r="AG23" s="170"/>
      <c r="AH23" s="170">
        <v>3</v>
      </c>
      <c r="AI23" s="171" t="s">
        <v>333</v>
      </c>
      <c r="AJ23" s="170">
        <f t="shared" si="3"/>
        <v>1022.6999999999999</v>
      </c>
      <c r="AK23" s="170"/>
      <c r="AL23" s="170"/>
      <c r="AM23" s="170"/>
      <c r="AN23" s="176" t="s">
        <v>334</v>
      </c>
    </row>
    <row r="24" spans="1:40" ht="72.75" customHeight="1" x14ac:dyDescent="0.3">
      <c r="A24" s="154"/>
      <c r="B24" s="166"/>
      <c r="C24" s="167"/>
      <c r="D24" s="167"/>
      <c r="E24" s="167"/>
      <c r="F24" s="167"/>
      <c r="G24" s="41"/>
      <c r="H24" s="41"/>
      <c r="I24" s="41"/>
      <c r="J24" s="41"/>
      <c r="K24" s="168"/>
      <c r="L24" s="168"/>
      <c r="M24" s="168"/>
      <c r="N24" s="168"/>
      <c r="O24" s="154">
        <v>4</v>
      </c>
      <c r="P24" s="166" t="s">
        <v>335</v>
      </c>
      <c r="Q24" s="167">
        <v>880</v>
      </c>
      <c r="R24" s="167"/>
      <c r="S24" s="167"/>
      <c r="T24" s="167"/>
      <c r="U24" s="168"/>
      <c r="V24" s="168"/>
      <c r="W24" s="168"/>
      <c r="X24" s="168"/>
      <c r="Y24" s="154"/>
      <c r="Z24" s="286"/>
      <c r="AA24" s="287"/>
      <c r="AB24" s="170">
        <v>4</v>
      </c>
      <c r="AC24" s="171" t="s">
        <v>336</v>
      </c>
      <c r="AD24" s="170">
        <f>Q24*1.1</f>
        <v>968.00000000000011</v>
      </c>
      <c r="AE24" s="170"/>
      <c r="AF24" s="170"/>
      <c r="AG24" s="170"/>
      <c r="AH24" s="170">
        <v>4</v>
      </c>
      <c r="AI24" s="171" t="s">
        <v>336</v>
      </c>
      <c r="AJ24" s="170">
        <f t="shared" si="3"/>
        <v>677.6</v>
      </c>
      <c r="AK24" s="170"/>
      <c r="AL24" s="170"/>
      <c r="AM24" s="170"/>
      <c r="AN24" s="176" t="s">
        <v>318</v>
      </c>
    </row>
    <row r="25" spans="1:40" ht="69.75" customHeight="1" x14ac:dyDescent="0.3">
      <c r="A25" s="154"/>
      <c r="B25" s="166"/>
      <c r="C25" s="167"/>
      <c r="D25" s="167"/>
      <c r="E25" s="167"/>
      <c r="F25" s="167"/>
      <c r="G25" s="41"/>
      <c r="H25" s="41"/>
      <c r="I25" s="41"/>
      <c r="J25" s="41"/>
      <c r="K25" s="168"/>
      <c r="L25" s="168"/>
      <c r="M25" s="168"/>
      <c r="N25" s="168"/>
      <c r="O25" s="154">
        <v>5</v>
      </c>
      <c r="P25" s="166" t="s">
        <v>337</v>
      </c>
      <c r="Q25" s="167">
        <v>870</v>
      </c>
      <c r="R25" s="167"/>
      <c r="S25" s="167"/>
      <c r="T25" s="167"/>
      <c r="U25" s="168"/>
      <c r="V25" s="168"/>
      <c r="W25" s="168"/>
      <c r="X25" s="168"/>
      <c r="Y25" s="154"/>
      <c r="Z25" s="286"/>
      <c r="AA25" s="287"/>
      <c r="AB25" s="170">
        <v>5</v>
      </c>
      <c r="AC25" s="171" t="s">
        <v>338</v>
      </c>
      <c r="AD25" s="170">
        <v>1277</v>
      </c>
      <c r="AE25" s="170"/>
      <c r="AF25" s="170"/>
      <c r="AG25" s="170"/>
      <c r="AH25" s="170">
        <v>5</v>
      </c>
      <c r="AI25" s="171" t="s">
        <v>338</v>
      </c>
      <c r="AJ25" s="170">
        <f t="shared" si="3"/>
        <v>893.9</v>
      </c>
      <c r="AK25" s="170"/>
      <c r="AL25" s="170"/>
      <c r="AM25" s="170"/>
      <c r="AN25" s="176" t="s">
        <v>339</v>
      </c>
    </row>
    <row r="26" spans="1:40" ht="66.75" customHeight="1" x14ac:dyDescent="0.3">
      <c r="A26" s="154"/>
      <c r="B26" s="166"/>
      <c r="C26" s="167"/>
      <c r="D26" s="167"/>
      <c r="E26" s="167"/>
      <c r="F26" s="167"/>
      <c r="G26" s="41"/>
      <c r="H26" s="41"/>
      <c r="I26" s="41"/>
      <c r="J26" s="41"/>
      <c r="K26" s="168"/>
      <c r="L26" s="168"/>
      <c r="M26" s="168"/>
      <c r="N26" s="168"/>
      <c r="O26" s="154">
        <v>6</v>
      </c>
      <c r="P26" s="166" t="s">
        <v>340</v>
      </c>
      <c r="Q26" s="167">
        <v>870</v>
      </c>
      <c r="R26" s="167"/>
      <c r="S26" s="167"/>
      <c r="T26" s="167"/>
      <c r="U26" s="168"/>
      <c r="V26" s="168"/>
      <c r="W26" s="168"/>
      <c r="X26" s="168"/>
      <c r="Y26" s="154"/>
      <c r="Z26" s="286"/>
      <c r="AA26" s="287"/>
      <c r="AB26" s="170">
        <v>6</v>
      </c>
      <c r="AC26" s="171" t="s">
        <v>341</v>
      </c>
      <c r="AD26" s="170">
        <v>1219</v>
      </c>
      <c r="AE26" s="170"/>
      <c r="AF26" s="170"/>
      <c r="AG26" s="170"/>
      <c r="AH26" s="170">
        <v>6</v>
      </c>
      <c r="AI26" s="171" t="s">
        <v>341</v>
      </c>
      <c r="AJ26" s="170">
        <f t="shared" si="3"/>
        <v>853.3</v>
      </c>
      <c r="AK26" s="170"/>
      <c r="AL26" s="170"/>
      <c r="AM26" s="170"/>
      <c r="AN26" s="176" t="s">
        <v>342</v>
      </c>
    </row>
    <row r="27" spans="1:40" ht="70.5" customHeight="1" x14ac:dyDescent="0.3">
      <c r="A27" s="154"/>
      <c r="B27" s="166"/>
      <c r="C27" s="167"/>
      <c r="D27" s="167"/>
      <c r="E27" s="167"/>
      <c r="F27" s="167"/>
      <c r="G27" s="41"/>
      <c r="H27" s="41"/>
      <c r="I27" s="41"/>
      <c r="J27" s="41"/>
      <c r="K27" s="168"/>
      <c r="L27" s="168"/>
      <c r="M27" s="168"/>
      <c r="N27" s="168"/>
      <c r="O27" s="154">
        <v>7</v>
      </c>
      <c r="P27" s="166" t="s">
        <v>343</v>
      </c>
      <c r="Q27" s="167">
        <v>965</v>
      </c>
      <c r="R27" s="167"/>
      <c r="S27" s="167"/>
      <c r="T27" s="167"/>
      <c r="U27" s="168"/>
      <c r="V27" s="168"/>
      <c r="W27" s="168"/>
      <c r="X27" s="168"/>
      <c r="Y27" s="154"/>
      <c r="Z27" s="286"/>
      <c r="AA27" s="287"/>
      <c r="AB27" s="170">
        <v>7</v>
      </c>
      <c r="AC27" s="171" t="s">
        <v>344</v>
      </c>
      <c r="AD27" s="170">
        <f t="shared" ref="AD27:AD35" si="4">Q27*1.1</f>
        <v>1061.5</v>
      </c>
      <c r="AE27" s="177"/>
      <c r="AF27" s="177"/>
      <c r="AG27" s="177"/>
      <c r="AH27" s="170">
        <v>7</v>
      </c>
      <c r="AI27" s="171" t="s">
        <v>344</v>
      </c>
      <c r="AJ27" s="170">
        <f t="shared" si="3"/>
        <v>743.05</v>
      </c>
      <c r="AK27" s="177"/>
      <c r="AL27" s="177"/>
      <c r="AM27" s="177"/>
      <c r="AN27" s="176" t="s">
        <v>318</v>
      </c>
    </row>
    <row r="28" spans="1:40" ht="54.75" customHeight="1" x14ac:dyDescent="0.3">
      <c r="A28" s="154"/>
      <c r="B28" s="166"/>
      <c r="C28" s="167"/>
      <c r="D28" s="167"/>
      <c r="E28" s="167"/>
      <c r="F28" s="167"/>
      <c r="G28" s="41"/>
      <c r="H28" s="41"/>
      <c r="I28" s="41"/>
      <c r="J28" s="41"/>
      <c r="K28" s="168"/>
      <c r="L28" s="168"/>
      <c r="M28" s="168"/>
      <c r="N28" s="168"/>
      <c r="O28" s="154">
        <v>8</v>
      </c>
      <c r="P28" s="166" t="s">
        <v>345</v>
      </c>
      <c r="Q28" s="167">
        <v>965</v>
      </c>
      <c r="R28" s="167"/>
      <c r="S28" s="167"/>
      <c r="T28" s="167"/>
      <c r="U28" s="168"/>
      <c r="V28" s="168"/>
      <c r="W28" s="168"/>
      <c r="X28" s="168"/>
      <c r="Y28" s="154"/>
      <c r="Z28" s="286"/>
      <c r="AA28" s="287"/>
      <c r="AB28" s="170">
        <v>8</v>
      </c>
      <c r="AC28" s="171" t="s">
        <v>346</v>
      </c>
      <c r="AD28" s="170">
        <f t="shared" si="4"/>
        <v>1061.5</v>
      </c>
      <c r="AE28" s="177"/>
      <c r="AF28" s="177"/>
      <c r="AG28" s="177"/>
      <c r="AH28" s="170">
        <v>8</v>
      </c>
      <c r="AI28" s="171" t="s">
        <v>346</v>
      </c>
      <c r="AJ28" s="170">
        <f t="shared" si="3"/>
        <v>743.05</v>
      </c>
      <c r="AK28" s="177"/>
      <c r="AL28" s="177"/>
      <c r="AM28" s="177"/>
      <c r="AN28" s="176" t="s">
        <v>318</v>
      </c>
    </row>
    <row r="29" spans="1:40" ht="51" customHeight="1" x14ac:dyDescent="0.3">
      <c r="A29" s="154"/>
      <c r="B29" s="166"/>
      <c r="C29" s="167"/>
      <c r="D29" s="167"/>
      <c r="E29" s="167"/>
      <c r="F29" s="167"/>
      <c r="G29" s="41"/>
      <c r="H29" s="41"/>
      <c r="I29" s="41"/>
      <c r="J29" s="41"/>
      <c r="K29" s="168"/>
      <c r="L29" s="168"/>
      <c r="M29" s="168"/>
      <c r="N29" s="168"/>
      <c r="O29" s="154">
        <v>9</v>
      </c>
      <c r="P29" s="166" t="s">
        <v>347</v>
      </c>
      <c r="Q29" s="167">
        <v>965</v>
      </c>
      <c r="R29" s="167"/>
      <c r="S29" s="167"/>
      <c r="T29" s="167"/>
      <c r="U29" s="168"/>
      <c r="V29" s="168"/>
      <c r="W29" s="168"/>
      <c r="X29" s="168"/>
      <c r="Y29" s="154"/>
      <c r="Z29" s="286"/>
      <c r="AA29" s="287"/>
      <c r="AB29" s="170">
        <v>9</v>
      </c>
      <c r="AC29" s="171" t="s">
        <v>348</v>
      </c>
      <c r="AD29" s="170">
        <f t="shared" si="4"/>
        <v>1061.5</v>
      </c>
      <c r="AE29" s="177"/>
      <c r="AF29" s="177"/>
      <c r="AG29" s="177"/>
      <c r="AH29" s="170">
        <v>9</v>
      </c>
      <c r="AI29" s="171" t="s">
        <v>348</v>
      </c>
      <c r="AJ29" s="170">
        <f t="shared" si="3"/>
        <v>743.05</v>
      </c>
      <c r="AK29" s="177"/>
      <c r="AL29" s="177"/>
      <c r="AM29" s="177"/>
      <c r="AN29" s="176" t="s">
        <v>318</v>
      </c>
    </row>
    <row r="30" spans="1:40" ht="69.75" customHeight="1" x14ac:dyDescent="0.3">
      <c r="A30" s="154"/>
      <c r="B30" s="166"/>
      <c r="C30" s="167"/>
      <c r="D30" s="167"/>
      <c r="E30" s="167"/>
      <c r="F30" s="167"/>
      <c r="G30" s="41"/>
      <c r="H30" s="41"/>
      <c r="I30" s="41"/>
      <c r="J30" s="41"/>
      <c r="K30" s="168"/>
      <c r="L30" s="168"/>
      <c r="M30" s="168"/>
      <c r="N30" s="168"/>
      <c r="O30" s="154">
        <v>10</v>
      </c>
      <c r="P30" s="166" t="s">
        <v>349</v>
      </c>
      <c r="Q30" s="167">
        <v>965</v>
      </c>
      <c r="R30" s="167"/>
      <c r="S30" s="167"/>
      <c r="T30" s="167"/>
      <c r="U30" s="168"/>
      <c r="V30" s="168"/>
      <c r="W30" s="168"/>
      <c r="X30" s="168"/>
      <c r="Y30" s="154"/>
      <c r="Z30" s="286"/>
      <c r="AA30" s="287"/>
      <c r="AB30" s="170">
        <v>10</v>
      </c>
      <c r="AC30" s="171" t="s">
        <v>350</v>
      </c>
      <c r="AD30" s="170">
        <f t="shared" si="4"/>
        <v>1061.5</v>
      </c>
      <c r="AE30" s="177"/>
      <c r="AF30" s="177"/>
      <c r="AG30" s="177"/>
      <c r="AH30" s="170">
        <v>10</v>
      </c>
      <c r="AI30" s="171" t="s">
        <v>350</v>
      </c>
      <c r="AJ30" s="170">
        <f t="shared" si="3"/>
        <v>743.05</v>
      </c>
      <c r="AK30" s="177"/>
      <c r="AL30" s="177"/>
      <c r="AM30" s="177"/>
      <c r="AN30" s="176" t="s">
        <v>318</v>
      </c>
    </row>
    <row r="31" spans="1:40" ht="74.25" customHeight="1" x14ac:dyDescent="0.3">
      <c r="A31" s="154"/>
      <c r="B31" s="166"/>
      <c r="C31" s="167"/>
      <c r="D31" s="167"/>
      <c r="E31" s="167"/>
      <c r="F31" s="167"/>
      <c r="G31" s="41"/>
      <c r="H31" s="41"/>
      <c r="I31" s="41"/>
      <c r="J31" s="41"/>
      <c r="K31" s="168"/>
      <c r="L31" s="168"/>
      <c r="M31" s="168"/>
      <c r="N31" s="168"/>
      <c r="O31" s="154">
        <v>11</v>
      </c>
      <c r="P31" s="166" t="s">
        <v>351</v>
      </c>
      <c r="Q31" s="167">
        <v>870</v>
      </c>
      <c r="R31" s="167"/>
      <c r="S31" s="167"/>
      <c r="T31" s="167"/>
      <c r="U31" s="168"/>
      <c r="V31" s="168"/>
      <c r="W31" s="168"/>
      <c r="X31" s="168"/>
      <c r="Y31" s="154"/>
      <c r="Z31" s="286"/>
      <c r="AA31" s="287"/>
      <c r="AB31" s="170">
        <v>11</v>
      </c>
      <c r="AC31" s="171" t="s">
        <v>352</v>
      </c>
      <c r="AD31" s="170">
        <f t="shared" si="4"/>
        <v>957.00000000000011</v>
      </c>
      <c r="AE31" s="170"/>
      <c r="AF31" s="170"/>
      <c r="AG31" s="170"/>
      <c r="AH31" s="170">
        <v>11</v>
      </c>
      <c r="AI31" s="171" t="s">
        <v>352</v>
      </c>
      <c r="AJ31" s="170">
        <f t="shared" si="3"/>
        <v>669.90000000000009</v>
      </c>
      <c r="AK31" s="170"/>
      <c r="AL31" s="170"/>
      <c r="AM31" s="170"/>
      <c r="AN31" s="176" t="s">
        <v>318</v>
      </c>
    </row>
    <row r="32" spans="1:40" ht="67.5" customHeight="1" x14ac:dyDescent="0.3">
      <c r="A32" s="154"/>
      <c r="B32" s="166"/>
      <c r="C32" s="167"/>
      <c r="D32" s="167"/>
      <c r="E32" s="167"/>
      <c r="F32" s="167"/>
      <c r="G32" s="41"/>
      <c r="H32" s="41"/>
      <c r="I32" s="41"/>
      <c r="J32" s="41"/>
      <c r="K32" s="168"/>
      <c r="L32" s="168"/>
      <c r="M32" s="168"/>
      <c r="N32" s="168"/>
      <c r="O32" s="154">
        <v>12</v>
      </c>
      <c r="P32" s="166" t="s">
        <v>353</v>
      </c>
      <c r="Q32" s="167">
        <v>965</v>
      </c>
      <c r="R32" s="167"/>
      <c r="S32" s="167"/>
      <c r="T32" s="167"/>
      <c r="U32" s="168"/>
      <c r="V32" s="168"/>
      <c r="W32" s="168"/>
      <c r="X32" s="168"/>
      <c r="Y32" s="154"/>
      <c r="Z32" s="286"/>
      <c r="AA32" s="287"/>
      <c r="AB32" s="170">
        <v>12</v>
      </c>
      <c r="AC32" s="171" t="s">
        <v>354</v>
      </c>
      <c r="AD32" s="170">
        <f t="shared" si="4"/>
        <v>1061.5</v>
      </c>
      <c r="AE32" s="170"/>
      <c r="AF32" s="170"/>
      <c r="AG32" s="170"/>
      <c r="AH32" s="170">
        <v>12</v>
      </c>
      <c r="AI32" s="171" t="s">
        <v>354</v>
      </c>
      <c r="AJ32" s="170">
        <f t="shared" si="3"/>
        <v>743.05</v>
      </c>
      <c r="AK32" s="170"/>
      <c r="AL32" s="170"/>
      <c r="AM32" s="170"/>
      <c r="AN32" s="176" t="s">
        <v>318</v>
      </c>
    </row>
    <row r="33" spans="1:40" ht="48" customHeight="1" x14ac:dyDescent="0.3">
      <c r="A33" s="154"/>
      <c r="B33" s="166"/>
      <c r="C33" s="167"/>
      <c r="D33" s="167"/>
      <c r="E33" s="167"/>
      <c r="F33" s="167"/>
      <c r="G33" s="41"/>
      <c r="H33" s="41"/>
      <c r="I33" s="41"/>
      <c r="J33" s="41"/>
      <c r="K33" s="168"/>
      <c r="L33" s="168"/>
      <c r="M33" s="168"/>
      <c r="N33" s="168"/>
      <c r="O33" s="154">
        <v>13</v>
      </c>
      <c r="P33" s="166" t="s">
        <v>355</v>
      </c>
      <c r="Q33" s="167">
        <v>950</v>
      </c>
      <c r="R33" s="167"/>
      <c r="S33" s="167"/>
      <c r="T33" s="167"/>
      <c r="U33" s="168"/>
      <c r="V33" s="168"/>
      <c r="W33" s="168"/>
      <c r="X33" s="168"/>
      <c r="Y33" s="154"/>
      <c r="Z33" s="286"/>
      <c r="AA33" s="287"/>
      <c r="AB33" s="170">
        <v>13</v>
      </c>
      <c r="AC33" s="171" t="s">
        <v>356</v>
      </c>
      <c r="AD33" s="170">
        <f t="shared" si="4"/>
        <v>1045</v>
      </c>
      <c r="AE33" s="170"/>
      <c r="AF33" s="170"/>
      <c r="AG33" s="170"/>
      <c r="AH33" s="170">
        <v>13</v>
      </c>
      <c r="AI33" s="171" t="s">
        <v>356</v>
      </c>
      <c r="AJ33" s="170">
        <f t="shared" si="3"/>
        <v>731.5</v>
      </c>
      <c r="AK33" s="170"/>
      <c r="AL33" s="170"/>
      <c r="AM33" s="170"/>
      <c r="AN33" s="176" t="s">
        <v>318</v>
      </c>
    </row>
    <row r="34" spans="1:40" ht="49.5" customHeight="1" x14ac:dyDescent="0.3">
      <c r="A34" s="154"/>
      <c r="B34" s="166"/>
      <c r="C34" s="167"/>
      <c r="D34" s="167"/>
      <c r="E34" s="167"/>
      <c r="F34" s="167"/>
      <c r="G34" s="41"/>
      <c r="H34" s="41"/>
      <c r="I34" s="41"/>
      <c r="J34" s="41"/>
      <c r="K34" s="168"/>
      <c r="L34" s="168"/>
      <c r="M34" s="168"/>
      <c r="N34" s="168"/>
      <c r="O34" s="154">
        <v>14</v>
      </c>
      <c r="P34" s="174" t="s">
        <v>357</v>
      </c>
      <c r="Q34" s="167">
        <v>870</v>
      </c>
      <c r="R34" s="167"/>
      <c r="S34" s="167"/>
      <c r="T34" s="167"/>
      <c r="U34" s="168"/>
      <c r="V34" s="168"/>
      <c r="W34" s="168"/>
      <c r="X34" s="168"/>
      <c r="Y34" s="154"/>
      <c r="Z34" s="286"/>
      <c r="AA34" s="287"/>
      <c r="AB34" s="170">
        <v>14</v>
      </c>
      <c r="AC34" s="171" t="s">
        <v>358</v>
      </c>
      <c r="AD34" s="170">
        <f t="shared" si="4"/>
        <v>957.00000000000011</v>
      </c>
      <c r="AE34" s="170"/>
      <c r="AF34" s="170"/>
      <c r="AG34" s="170"/>
      <c r="AH34" s="170">
        <v>14</v>
      </c>
      <c r="AI34" s="171" t="s">
        <v>358</v>
      </c>
      <c r="AJ34" s="170">
        <f t="shared" si="3"/>
        <v>669.90000000000009</v>
      </c>
      <c r="AK34" s="170"/>
      <c r="AL34" s="170"/>
      <c r="AM34" s="170"/>
      <c r="AN34" s="176" t="s">
        <v>318</v>
      </c>
    </row>
    <row r="35" spans="1:40" ht="51" customHeight="1" x14ac:dyDescent="0.3">
      <c r="A35" s="154"/>
      <c r="B35" s="166"/>
      <c r="C35" s="167"/>
      <c r="D35" s="167"/>
      <c r="E35" s="167"/>
      <c r="F35" s="167"/>
      <c r="G35" s="41"/>
      <c r="H35" s="41"/>
      <c r="I35" s="41"/>
      <c r="J35" s="41"/>
      <c r="K35" s="168"/>
      <c r="L35" s="168"/>
      <c r="M35" s="168"/>
      <c r="N35" s="168"/>
      <c r="O35" s="154">
        <v>15</v>
      </c>
      <c r="P35" s="166" t="s">
        <v>359</v>
      </c>
      <c r="Q35" s="167">
        <v>870</v>
      </c>
      <c r="R35" s="167"/>
      <c r="S35" s="167"/>
      <c r="T35" s="167"/>
      <c r="U35" s="168"/>
      <c r="V35" s="168"/>
      <c r="W35" s="168"/>
      <c r="X35" s="168"/>
      <c r="Y35" s="154"/>
      <c r="Z35" s="286"/>
      <c r="AA35" s="287"/>
      <c r="AB35" s="170">
        <v>15</v>
      </c>
      <c r="AC35" s="171" t="s">
        <v>360</v>
      </c>
      <c r="AD35" s="170">
        <f t="shared" si="4"/>
        <v>957.00000000000011</v>
      </c>
      <c r="AE35" s="170"/>
      <c r="AF35" s="170"/>
      <c r="AG35" s="170"/>
      <c r="AH35" s="170">
        <v>15</v>
      </c>
      <c r="AI35" s="171" t="s">
        <v>360</v>
      </c>
      <c r="AJ35" s="170">
        <f t="shared" si="3"/>
        <v>669.90000000000009</v>
      </c>
      <c r="AK35" s="170"/>
      <c r="AL35" s="170"/>
      <c r="AM35" s="170"/>
      <c r="AN35" s="176" t="s">
        <v>318</v>
      </c>
    </row>
    <row r="36" spans="1:40" ht="31.5" customHeight="1" x14ac:dyDescent="0.3">
      <c r="A36" s="154"/>
      <c r="B36" s="166"/>
      <c r="C36" s="167"/>
      <c r="D36" s="167"/>
      <c r="E36" s="167"/>
      <c r="F36" s="167"/>
      <c r="G36" s="41"/>
      <c r="H36" s="41"/>
      <c r="I36" s="41"/>
      <c r="J36" s="41"/>
      <c r="K36" s="168"/>
      <c r="L36" s="168"/>
      <c r="M36" s="168"/>
      <c r="N36" s="168"/>
      <c r="O36" s="156" t="s">
        <v>17</v>
      </c>
      <c r="P36" s="162" t="s">
        <v>361</v>
      </c>
      <c r="Q36" s="167"/>
      <c r="R36" s="167"/>
      <c r="S36" s="167"/>
      <c r="T36" s="167"/>
      <c r="U36" s="168"/>
      <c r="V36" s="168"/>
      <c r="W36" s="168"/>
      <c r="X36" s="168"/>
      <c r="Y36" s="154"/>
      <c r="Z36" s="286"/>
      <c r="AA36" s="287"/>
      <c r="AB36" s="163" t="s">
        <v>17</v>
      </c>
      <c r="AC36" s="164" t="s">
        <v>362</v>
      </c>
      <c r="AD36" s="170"/>
      <c r="AE36" s="170"/>
      <c r="AF36" s="170"/>
      <c r="AG36" s="170"/>
      <c r="AH36" s="163" t="s">
        <v>17</v>
      </c>
      <c r="AI36" s="164" t="s">
        <v>362</v>
      </c>
      <c r="AJ36" s="170"/>
      <c r="AK36" s="170"/>
      <c r="AL36" s="170"/>
      <c r="AM36" s="170"/>
      <c r="AN36" s="176"/>
    </row>
    <row r="37" spans="1:40" ht="72" customHeight="1" x14ac:dyDescent="0.3">
      <c r="A37" s="154"/>
      <c r="B37" s="166"/>
      <c r="C37" s="167"/>
      <c r="D37" s="167"/>
      <c r="E37" s="167"/>
      <c r="F37" s="167"/>
      <c r="G37" s="41"/>
      <c r="H37" s="41"/>
      <c r="I37" s="41"/>
      <c r="J37" s="41"/>
      <c r="K37" s="168"/>
      <c r="L37" s="168"/>
      <c r="M37" s="168"/>
      <c r="N37" s="168"/>
      <c r="O37" s="154">
        <v>1</v>
      </c>
      <c r="P37" s="174" t="s">
        <v>363</v>
      </c>
      <c r="Q37" s="167">
        <v>532</v>
      </c>
      <c r="R37" s="167"/>
      <c r="S37" s="167"/>
      <c r="T37" s="167"/>
      <c r="U37" s="168"/>
      <c r="V37" s="168"/>
      <c r="W37" s="168"/>
      <c r="X37" s="168"/>
      <c r="Y37" s="154"/>
      <c r="Z37" s="286"/>
      <c r="AA37" s="287"/>
      <c r="AB37" s="170">
        <v>1</v>
      </c>
      <c r="AC37" s="171" t="s">
        <v>364</v>
      </c>
      <c r="AD37" s="170">
        <f t="shared" ref="AD37:AD44" si="5">Q37*1.1</f>
        <v>585.20000000000005</v>
      </c>
      <c r="AE37" s="170"/>
      <c r="AF37" s="170"/>
      <c r="AG37" s="170"/>
      <c r="AH37" s="170">
        <v>1</v>
      </c>
      <c r="AI37" s="171" t="s">
        <v>364</v>
      </c>
      <c r="AJ37" s="170">
        <f t="shared" si="3"/>
        <v>409.64</v>
      </c>
      <c r="AK37" s="170"/>
      <c r="AL37" s="170"/>
      <c r="AM37" s="170"/>
      <c r="AN37" s="176" t="s">
        <v>318</v>
      </c>
    </row>
    <row r="38" spans="1:40" ht="51" customHeight="1" x14ac:dyDescent="0.3">
      <c r="A38" s="154"/>
      <c r="B38" s="166"/>
      <c r="C38" s="167"/>
      <c r="D38" s="167"/>
      <c r="E38" s="167"/>
      <c r="F38" s="167"/>
      <c r="G38" s="41"/>
      <c r="H38" s="41"/>
      <c r="I38" s="41"/>
      <c r="J38" s="41"/>
      <c r="K38" s="168"/>
      <c r="L38" s="168"/>
      <c r="M38" s="168"/>
      <c r="N38" s="168"/>
      <c r="O38" s="154">
        <v>2</v>
      </c>
      <c r="P38" s="166" t="s">
        <v>365</v>
      </c>
      <c r="Q38" s="167">
        <v>532</v>
      </c>
      <c r="R38" s="167"/>
      <c r="S38" s="167"/>
      <c r="T38" s="167"/>
      <c r="U38" s="168"/>
      <c r="V38" s="168"/>
      <c r="W38" s="168"/>
      <c r="X38" s="168"/>
      <c r="Y38" s="154"/>
      <c r="Z38" s="286"/>
      <c r="AA38" s="287"/>
      <c r="AB38" s="170">
        <v>2</v>
      </c>
      <c r="AC38" s="171" t="s">
        <v>366</v>
      </c>
      <c r="AD38" s="170">
        <f t="shared" si="5"/>
        <v>585.20000000000005</v>
      </c>
      <c r="AE38" s="170"/>
      <c r="AF38" s="170"/>
      <c r="AG38" s="170"/>
      <c r="AH38" s="170">
        <v>2</v>
      </c>
      <c r="AI38" s="171" t="s">
        <v>366</v>
      </c>
      <c r="AJ38" s="170">
        <f t="shared" si="3"/>
        <v>409.64</v>
      </c>
      <c r="AK38" s="170"/>
      <c r="AL38" s="170"/>
      <c r="AM38" s="170"/>
      <c r="AN38" s="176" t="s">
        <v>318</v>
      </c>
    </row>
    <row r="39" spans="1:40" ht="66.75" customHeight="1" x14ac:dyDescent="0.3">
      <c r="A39" s="154"/>
      <c r="B39" s="166"/>
      <c r="C39" s="167"/>
      <c r="D39" s="167"/>
      <c r="E39" s="167"/>
      <c r="F39" s="167"/>
      <c r="G39" s="41"/>
      <c r="H39" s="41"/>
      <c r="I39" s="41"/>
      <c r="J39" s="41"/>
      <c r="K39" s="168"/>
      <c r="L39" s="168"/>
      <c r="M39" s="168"/>
      <c r="N39" s="168"/>
      <c r="O39" s="154">
        <v>3</v>
      </c>
      <c r="P39" s="166" t="s">
        <v>367</v>
      </c>
      <c r="Q39" s="167">
        <v>532</v>
      </c>
      <c r="R39" s="167"/>
      <c r="S39" s="167"/>
      <c r="T39" s="167"/>
      <c r="U39" s="168"/>
      <c r="V39" s="168"/>
      <c r="W39" s="168"/>
      <c r="X39" s="168"/>
      <c r="Y39" s="154"/>
      <c r="Z39" s="286"/>
      <c r="AA39" s="287"/>
      <c r="AB39" s="170">
        <v>3</v>
      </c>
      <c r="AC39" s="171" t="s">
        <v>368</v>
      </c>
      <c r="AD39" s="170">
        <f t="shared" si="5"/>
        <v>585.20000000000005</v>
      </c>
      <c r="AE39" s="170"/>
      <c r="AF39" s="170"/>
      <c r="AG39" s="170"/>
      <c r="AH39" s="170">
        <v>3</v>
      </c>
      <c r="AI39" s="171" t="s">
        <v>368</v>
      </c>
      <c r="AJ39" s="170">
        <f t="shared" si="3"/>
        <v>409.64</v>
      </c>
      <c r="AK39" s="170"/>
      <c r="AL39" s="170"/>
      <c r="AM39" s="170"/>
      <c r="AN39" s="176" t="s">
        <v>318</v>
      </c>
    </row>
    <row r="40" spans="1:40" ht="51" customHeight="1" x14ac:dyDescent="0.3">
      <c r="A40" s="154"/>
      <c r="B40" s="166"/>
      <c r="C40" s="167"/>
      <c r="D40" s="167"/>
      <c r="E40" s="167"/>
      <c r="F40" s="167"/>
      <c r="G40" s="41"/>
      <c r="H40" s="41"/>
      <c r="I40" s="41"/>
      <c r="J40" s="41"/>
      <c r="K40" s="168"/>
      <c r="L40" s="168"/>
      <c r="M40" s="168"/>
      <c r="N40" s="168"/>
      <c r="O40" s="154">
        <v>4</v>
      </c>
      <c r="P40" s="166" t="s">
        <v>369</v>
      </c>
      <c r="Q40" s="167">
        <v>475</v>
      </c>
      <c r="R40" s="167"/>
      <c r="S40" s="167"/>
      <c r="T40" s="167"/>
      <c r="U40" s="168"/>
      <c r="V40" s="168"/>
      <c r="W40" s="168"/>
      <c r="X40" s="168"/>
      <c r="Y40" s="154"/>
      <c r="Z40" s="286"/>
      <c r="AA40" s="287"/>
      <c r="AB40" s="170">
        <v>4</v>
      </c>
      <c r="AC40" s="171" t="s">
        <v>369</v>
      </c>
      <c r="AD40" s="170">
        <f t="shared" si="5"/>
        <v>522.5</v>
      </c>
      <c r="AE40" s="170"/>
      <c r="AF40" s="170"/>
      <c r="AG40" s="170"/>
      <c r="AH40" s="170">
        <v>4</v>
      </c>
      <c r="AI40" s="171" t="s">
        <v>369</v>
      </c>
      <c r="AJ40" s="170">
        <f t="shared" si="3"/>
        <v>365.75</v>
      </c>
      <c r="AK40" s="170"/>
      <c r="AL40" s="170"/>
      <c r="AM40" s="170"/>
      <c r="AN40" s="176" t="s">
        <v>318</v>
      </c>
    </row>
    <row r="41" spans="1:40" ht="71.25" customHeight="1" x14ac:dyDescent="0.3">
      <c r="A41" s="154"/>
      <c r="B41" s="166"/>
      <c r="C41" s="167"/>
      <c r="D41" s="167"/>
      <c r="E41" s="167"/>
      <c r="F41" s="167"/>
      <c r="G41" s="41"/>
      <c r="H41" s="41"/>
      <c r="I41" s="41"/>
      <c r="J41" s="41"/>
      <c r="K41" s="168"/>
      <c r="L41" s="168"/>
      <c r="M41" s="168"/>
      <c r="N41" s="168"/>
      <c r="O41" s="154">
        <v>5</v>
      </c>
      <c r="P41" s="166" t="s">
        <v>370</v>
      </c>
      <c r="Q41" s="167">
        <v>532</v>
      </c>
      <c r="R41" s="167"/>
      <c r="S41" s="167"/>
      <c r="T41" s="167"/>
      <c r="U41" s="168"/>
      <c r="V41" s="168"/>
      <c r="W41" s="168"/>
      <c r="X41" s="168"/>
      <c r="Y41" s="154"/>
      <c r="Z41" s="286"/>
      <c r="AA41" s="287"/>
      <c r="AB41" s="170">
        <v>5</v>
      </c>
      <c r="AC41" s="171" t="s">
        <v>370</v>
      </c>
      <c r="AD41" s="170">
        <f t="shared" si="5"/>
        <v>585.20000000000005</v>
      </c>
      <c r="AE41" s="170"/>
      <c r="AF41" s="170"/>
      <c r="AG41" s="170"/>
      <c r="AH41" s="170">
        <v>5</v>
      </c>
      <c r="AI41" s="171" t="s">
        <v>370</v>
      </c>
      <c r="AJ41" s="170">
        <f t="shared" si="3"/>
        <v>409.64</v>
      </c>
      <c r="AK41" s="170"/>
      <c r="AL41" s="170"/>
      <c r="AM41" s="170"/>
      <c r="AN41" s="176" t="s">
        <v>318</v>
      </c>
    </row>
    <row r="42" spans="1:40" ht="68.25" customHeight="1" x14ac:dyDescent="0.3">
      <c r="A42" s="154"/>
      <c r="B42" s="166"/>
      <c r="C42" s="167"/>
      <c r="D42" s="167"/>
      <c r="E42" s="167"/>
      <c r="F42" s="167"/>
      <c r="G42" s="41"/>
      <c r="H42" s="41"/>
      <c r="I42" s="41"/>
      <c r="J42" s="41"/>
      <c r="K42" s="168"/>
      <c r="L42" s="168"/>
      <c r="M42" s="168"/>
      <c r="N42" s="168"/>
      <c r="O42" s="154">
        <v>6</v>
      </c>
      <c r="P42" s="166" t="s">
        <v>371</v>
      </c>
      <c r="Q42" s="167">
        <v>532</v>
      </c>
      <c r="R42" s="167"/>
      <c r="S42" s="167"/>
      <c r="T42" s="167"/>
      <c r="U42" s="168"/>
      <c r="V42" s="168"/>
      <c r="W42" s="168"/>
      <c r="X42" s="168"/>
      <c r="Y42" s="154"/>
      <c r="Z42" s="286"/>
      <c r="AA42" s="287"/>
      <c r="AB42" s="170">
        <v>6</v>
      </c>
      <c r="AC42" s="171" t="s">
        <v>372</v>
      </c>
      <c r="AD42" s="170">
        <f t="shared" si="5"/>
        <v>585.20000000000005</v>
      </c>
      <c r="AE42" s="170"/>
      <c r="AF42" s="170"/>
      <c r="AG42" s="170"/>
      <c r="AH42" s="170">
        <v>6</v>
      </c>
      <c r="AI42" s="171" t="s">
        <v>1063</v>
      </c>
      <c r="AJ42" s="170">
        <f t="shared" si="3"/>
        <v>409.64</v>
      </c>
      <c r="AK42" s="170"/>
      <c r="AL42" s="170"/>
      <c r="AM42" s="170"/>
      <c r="AN42" s="176" t="s">
        <v>318</v>
      </c>
    </row>
    <row r="43" spans="1:40" ht="42.75" customHeight="1" x14ac:dyDescent="0.3">
      <c r="A43" s="154"/>
      <c r="B43" s="166"/>
      <c r="C43" s="167"/>
      <c r="D43" s="167"/>
      <c r="E43" s="167"/>
      <c r="F43" s="167"/>
      <c r="G43" s="41"/>
      <c r="H43" s="41"/>
      <c r="I43" s="41"/>
      <c r="J43" s="41"/>
      <c r="K43" s="168"/>
      <c r="L43" s="168"/>
      <c r="M43" s="168"/>
      <c r="N43" s="168"/>
      <c r="O43" s="154">
        <v>7</v>
      </c>
      <c r="P43" s="166" t="s">
        <v>373</v>
      </c>
      <c r="Q43" s="167">
        <v>532</v>
      </c>
      <c r="R43" s="167"/>
      <c r="S43" s="167"/>
      <c r="T43" s="167"/>
      <c r="U43" s="168"/>
      <c r="V43" s="168"/>
      <c r="W43" s="168"/>
      <c r="X43" s="168"/>
      <c r="Y43" s="154"/>
      <c r="Z43" s="286"/>
      <c r="AA43" s="287"/>
      <c r="AB43" s="170">
        <v>7</v>
      </c>
      <c r="AC43" s="171" t="s">
        <v>374</v>
      </c>
      <c r="AD43" s="170">
        <f t="shared" si="5"/>
        <v>585.20000000000005</v>
      </c>
      <c r="AE43" s="170"/>
      <c r="AF43" s="170"/>
      <c r="AG43" s="170"/>
      <c r="AH43" s="170">
        <v>7</v>
      </c>
      <c r="AI43" s="171" t="s">
        <v>374</v>
      </c>
      <c r="AJ43" s="170">
        <f t="shared" si="3"/>
        <v>409.64</v>
      </c>
      <c r="AK43" s="170"/>
      <c r="AL43" s="170"/>
      <c r="AM43" s="170"/>
      <c r="AN43" s="176" t="s">
        <v>318</v>
      </c>
    </row>
    <row r="44" spans="1:40" ht="51" customHeight="1" x14ac:dyDescent="0.3">
      <c r="A44" s="154"/>
      <c r="B44" s="166"/>
      <c r="C44" s="167"/>
      <c r="D44" s="167"/>
      <c r="E44" s="167"/>
      <c r="F44" s="167"/>
      <c r="G44" s="41"/>
      <c r="H44" s="41"/>
      <c r="I44" s="41"/>
      <c r="J44" s="41"/>
      <c r="K44" s="168"/>
      <c r="L44" s="168"/>
      <c r="M44" s="168"/>
      <c r="N44" s="168"/>
      <c r="O44" s="154">
        <v>8</v>
      </c>
      <c r="P44" s="166" t="s">
        <v>375</v>
      </c>
      <c r="Q44" s="167">
        <v>475</v>
      </c>
      <c r="R44" s="167"/>
      <c r="S44" s="167"/>
      <c r="T44" s="167"/>
      <c r="U44" s="168"/>
      <c r="V44" s="168"/>
      <c r="W44" s="168"/>
      <c r="X44" s="168"/>
      <c r="Y44" s="154"/>
      <c r="Z44" s="286"/>
      <c r="AA44" s="287"/>
      <c r="AB44" s="170">
        <v>8</v>
      </c>
      <c r="AC44" s="171" t="s">
        <v>375</v>
      </c>
      <c r="AD44" s="170">
        <f t="shared" si="5"/>
        <v>522.5</v>
      </c>
      <c r="AE44" s="170"/>
      <c r="AF44" s="170"/>
      <c r="AG44" s="170"/>
      <c r="AH44" s="170">
        <v>8</v>
      </c>
      <c r="AI44" s="171" t="s">
        <v>375</v>
      </c>
      <c r="AJ44" s="170">
        <f t="shared" si="3"/>
        <v>365.75</v>
      </c>
      <c r="AK44" s="170"/>
      <c r="AL44" s="170"/>
      <c r="AM44" s="170"/>
      <c r="AN44" s="176" t="s">
        <v>318</v>
      </c>
    </row>
    <row r="45" spans="1:40" ht="29.25" customHeight="1" x14ac:dyDescent="0.3">
      <c r="A45" s="160"/>
      <c r="B45" s="178"/>
      <c r="C45" s="179"/>
      <c r="D45" s="179"/>
      <c r="E45" s="179"/>
      <c r="F45" s="179"/>
      <c r="G45" s="42"/>
      <c r="H45" s="42"/>
      <c r="I45" s="42"/>
      <c r="J45" s="42"/>
      <c r="K45" s="180"/>
      <c r="L45" s="180"/>
      <c r="M45" s="180"/>
      <c r="N45" s="180"/>
      <c r="O45" s="92" t="s">
        <v>18</v>
      </c>
      <c r="P45" s="181" t="s">
        <v>376</v>
      </c>
      <c r="Q45" s="179"/>
      <c r="R45" s="179"/>
      <c r="S45" s="179"/>
      <c r="T45" s="179"/>
      <c r="U45" s="180"/>
      <c r="V45" s="180"/>
      <c r="W45" s="180"/>
      <c r="X45" s="180"/>
      <c r="Y45" s="160"/>
      <c r="Z45" s="286"/>
      <c r="AA45" s="287"/>
      <c r="AB45" s="182" t="s">
        <v>18</v>
      </c>
      <c r="AC45" s="183" t="s">
        <v>376</v>
      </c>
      <c r="AD45" s="184"/>
      <c r="AE45" s="184"/>
      <c r="AF45" s="184"/>
      <c r="AG45" s="184"/>
      <c r="AH45" s="182" t="s">
        <v>18</v>
      </c>
      <c r="AI45" s="183" t="s">
        <v>376</v>
      </c>
      <c r="AJ45" s="170"/>
      <c r="AK45" s="184"/>
      <c r="AL45" s="184"/>
      <c r="AM45" s="184"/>
      <c r="AN45" s="185"/>
    </row>
    <row r="46" spans="1:40" ht="29.25" customHeight="1" x14ac:dyDescent="0.3">
      <c r="A46" s="160"/>
      <c r="B46" s="178"/>
      <c r="C46" s="179"/>
      <c r="D46" s="179"/>
      <c r="E46" s="179"/>
      <c r="F46" s="179"/>
      <c r="G46" s="42"/>
      <c r="H46" s="42"/>
      <c r="I46" s="42"/>
      <c r="J46" s="42"/>
      <c r="K46" s="180"/>
      <c r="L46" s="180"/>
      <c r="M46" s="180"/>
      <c r="N46" s="180"/>
      <c r="O46" s="160">
        <v>1</v>
      </c>
      <c r="P46" s="166" t="s">
        <v>377</v>
      </c>
      <c r="Q46" s="179">
        <v>740</v>
      </c>
      <c r="R46" s="179"/>
      <c r="S46" s="179"/>
      <c r="T46" s="179"/>
      <c r="U46" s="180"/>
      <c r="V46" s="180"/>
      <c r="W46" s="180"/>
      <c r="X46" s="180"/>
      <c r="Y46" s="160"/>
      <c r="Z46" s="286"/>
      <c r="AA46" s="287"/>
      <c r="AB46" s="184">
        <v>1</v>
      </c>
      <c r="AC46" s="171" t="s">
        <v>377</v>
      </c>
      <c r="AD46" s="184">
        <f>Q46*1.1</f>
        <v>814.00000000000011</v>
      </c>
      <c r="AE46" s="184"/>
      <c r="AF46" s="184"/>
      <c r="AG46" s="184"/>
      <c r="AH46" s="184">
        <v>1</v>
      </c>
      <c r="AI46" s="171" t="s">
        <v>377</v>
      </c>
      <c r="AJ46" s="170">
        <f t="shared" si="3"/>
        <v>569.80000000000007</v>
      </c>
      <c r="AK46" s="184"/>
      <c r="AL46" s="184"/>
      <c r="AM46" s="184"/>
      <c r="AN46" s="176" t="s">
        <v>315</v>
      </c>
    </row>
    <row r="47" spans="1:40" ht="22.5" customHeight="1" x14ac:dyDescent="0.3">
      <c r="A47" s="160"/>
      <c r="B47" s="178"/>
      <c r="C47" s="179"/>
      <c r="D47" s="179"/>
      <c r="E47" s="179"/>
      <c r="F47" s="179"/>
      <c r="G47" s="42"/>
      <c r="H47" s="42"/>
      <c r="I47" s="42"/>
      <c r="J47" s="42"/>
      <c r="K47" s="180"/>
      <c r="L47" s="180"/>
      <c r="M47" s="180"/>
      <c r="N47" s="180"/>
      <c r="O47" s="107" t="s">
        <v>21</v>
      </c>
      <c r="P47" s="181" t="s">
        <v>378</v>
      </c>
      <c r="Q47" s="179"/>
      <c r="R47" s="179"/>
      <c r="S47" s="179"/>
      <c r="T47" s="179"/>
      <c r="U47" s="180"/>
      <c r="V47" s="180"/>
      <c r="W47" s="180"/>
      <c r="X47" s="180"/>
      <c r="Y47" s="160"/>
      <c r="Z47" s="286"/>
      <c r="AA47" s="287"/>
      <c r="AB47" s="163" t="s">
        <v>21</v>
      </c>
      <c r="AC47" s="183" t="s">
        <v>378</v>
      </c>
      <c r="AD47" s="184"/>
      <c r="AE47" s="184"/>
      <c r="AF47" s="184"/>
      <c r="AG47" s="184"/>
      <c r="AH47" s="163" t="s">
        <v>21</v>
      </c>
      <c r="AI47" s="183" t="s">
        <v>378</v>
      </c>
      <c r="AJ47" s="170"/>
      <c r="AK47" s="184"/>
      <c r="AL47" s="184"/>
      <c r="AM47" s="184"/>
      <c r="AN47" s="185"/>
    </row>
    <row r="48" spans="1:40" ht="22.5" customHeight="1" x14ac:dyDescent="0.3">
      <c r="A48" s="160"/>
      <c r="B48" s="178"/>
      <c r="C48" s="179"/>
      <c r="D48" s="179"/>
      <c r="E48" s="179"/>
      <c r="F48" s="179"/>
      <c r="G48" s="42"/>
      <c r="H48" s="42"/>
      <c r="I48" s="42"/>
      <c r="J48" s="42"/>
      <c r="K48" s="180"/>
      <c r="L48" s="180"/>
      <c r="M48" s="180"/>
      <c r="N48" s="180"/>
      <c r="O48" s="160">
        <v>1</v>
      </c>
      <c r="P48" s="166" t="s">
        <v>379</v>
      </c>
      <c r="Q48" s="179">
        <v>112</v>
      </c>
      <c r="R48" s="179"/>
      <c r="S48" s="179"/>
      <c r="T48" s="179"/>
      <c r="U48" s="180"/>
      <c r="V48" s="180"/>
      <c r="W48" s="180"/>
      <c r="X48" s="180"/>
      <c r="Y48" s="160"/>
      <c r="Z48" s="286"/>
      <c r="AA48" s="287"/>
      <c r="AB48" s="184">
        <v>1</v>
      </c>
      <c r="AC48" s="171" t="s">
        <v>379</v>
      </c>
      <c r="AD48" s="184">
        <f>Q48*1.1</f>
        <v>123.20000000000002</v>
      </c>
      <c r="AE48" s="184"/>
      <c r="AF48" s="184"/>
      <c r="AG48" s="184"/>
      <c r="AH48" s="184">
        <v>1</v>
      </c>
      <c r="AI48" s="171" t="s">
        <v>379</v>
      </c>
      <c r="AJ48" s="170">
        <f t="shared" si="3"/>
        <v>86.240000000000009</v>
      </c>
      <c r="AK48" s="184"/>
      <c r="AL48" s="184"/>
      <c r="AM48" s="184"/>
      <c r="AN48" s="176" t="s">
        <v>315</v>
      </c>
    </row>
    <row r="49" spans="1:40" ht="24" customHeight="1" x14ac:dyDescent="0.3">
      <c r="A49" s="154"/>
      <c r="B49" s="166"/>
      <c r="C49" s="167"/>
      <c r="D49" s="167"/>
      <c r="E49" s="167"/>
      <c r="F49" s="167"/>
      <c r="G49" s="41"/>
      <c r="H49" s="41"/>
      <c r="I49" s="41"/>
      <c r="J49" s="41"/>
      <c r="K49" s="168"/>
      <c r="L49" s="168"/>
      <c r="M49" s="168"/>
      <c r="N49" s="168"/>
      <c r="O49" s="154"/>
      <c r="P49" s="156" t="s">
        <v>380</v>
      </c>
      <c r="Q49" s="167"/>
      <c r="R49" s="167"/>
      <c r="S49" s="167"/>
      <c r="T49" s="167"/>
      <c r="U49" s="168"/>
      <c r="V49" s="168"/>
      <c r="W49" s="168"/>
      <c r="X49" s="168"/>
      <c r="Y49" s="154"/>
      <c r="Z49" s="286"/>
      <c r="AA49" s="287"/>
      <c r="AB49" s="170"/>
      <c r="AC49" s="163" t="s">
        <v>380</v>
      </c>
      <c r="AD49" s="170"/>
      <c r="AE49" s="170"/>
      <c r="AF49" s="170"/>
      <c r="AG49" s="170"/>
      <c r="AH49" s="170"/>
      <c r="AI49" s="163" t="s">
        <v>380</v>
      </c>
      <c r="AJ49" s="170"/>
      <c r="AK49" s="170"/>
      <c r="AL49" s="170"/>
      <c r="AM49" s="170"/>
      <c r="AN49" s="176"/>
    </row>
    <row r="50" spans="1:40" ht="29.25" customHeight="1" x14ac:dyDescent="0.3">
      <c r="A50" s="154"/>
      <c r="B50" s="166"/>
      <c r="C50" s="167"/>
      <c r="D50" s="167"/>
      <c r="E50" s="167"/>
      <c r="F50" s="167"/>
      <c r="G50" s="41"/>
      <c r="H50" s="41"/>
      <c r="I50" s="41"/>
      <c r="J50" s="41"/>
      <c r="K50" s="168"/>
      <c r="L50" s="168"/>
      <c r="M50" s="168"/>
      <c r="N50" s="168"/>
      <c r="O50" s="154" t="s">
        <v>381</v>
      </c>
      <c r="P50" s="186" t="s">
        <v>382</v>
      </c>
      <c r="Q50" s="167"/>
      <c r="R50" s="167"/>
      <c r="S50" s="167"/>
      <c r="T50" s="167"/>
      <c r="U50" s="168"/>
      <c r="V50" s="168"/>
      <c r="W50" s="168"/>
      <c r="X50" s="168"/>
      <c r="Y50" s="154"/>
      <c r="Z50" s="286"/>
      <c r="AA50" s="287"/>
      <c r="AB50" s="170" t="s">
        <v>381</v>
      </c>
      <c r="AC50" s="187" t="s">
        <v>383</v>
      </c>
      <c r="AD50" s="170"/>
      <c r="AE50" s="170"/>
      <c r="AF50" s="170"/>
      <c r="AG50" s="170"/>
      <c r="AH50" s="163" t="s">
        <v>381</v>
      </c>
      <c r="AI50" s="187" t="s">
        <v>383</v>
      </c>
      <c r="AJ50" s="170"/>
      <c r="AK50" s="170"/>
      <c r="AL50" s="170"/>
      <c r="AM50" s="170"/>
      <c r="AN50" s="176"/>
    </row>
    <row r="51" spans="1:40" ht="27" customHeight="1" x14ac:dyDescent="0.3">
      <c r="A51" s="154"/>
      <c r="B51" s="166"/>
      <c r="C51" s="167"/>
      <c r="D51" s="167"/>
      <c r="E51" s="167"/>
      <c r="F51" s="167"/>
      <c r="G51" s="41"/>
      <c r="H51" s="41"/>
      <c r="I51" s="41"/>
      <c r="J51" s="41"/>
      <c r="K51" s="168"/>
      <c r="L51" s="168"/>
      <c r="M51" s="168"/>
      <c r="N51" s="168"/>
      <c r="O51" s="154" t="s">
        <v>7</v>
      </c>
      <c r="P51" s="162" t="s">
        <v>384</v>
      </c>
      <c r="Q51" s="167"/>
      <c r="R51" s="167"/>
      <c r="S51" s="167"/>
      <c r="T51" s="167"/>
      <c r="U51" s="168"/>
      <c r="V51" s="168"/>
      <c r="W51" s="168"/>
      <c r="X51" s="168"/>
      <c r="Y51" s="154"/>
      <c r="Z51" s="286"/>
      <c r="AA51" s="287"/>
      <c r="AB51" s="170" t="s">
        <v>7</v>
      </c>
      <c r="AC51" s="187" t="s">
        <v>385</v>
      </c>
      <c r="AD51" s="170"/>
      <c r="AE51" s="170"/>
      <c r="AF51" s="170"/>
      <c r="AG51" s="170"/>
      <c r="AH51" s="170" t="s">
        <v>7</v>
      </c>
      <c r="AI51" s="187" t="s">
        <v>385</v>
      </c>
      <c r="AJ51" s="170"/>
      <c r="AK51" s="170"/>
      <c r="AL51" s="170"/>
      <c r="AM51" s="170"/>
      <c r="AN51" s="176"/>
    </row>
    <row r="52" spans="1:40" ht="73.5" customHeight="1" x14ac:dyDescent="0.3">
      <c r="A52" s="154"/>
      <c r="B52" s="166"/>
      <c r="C52" s="167"/>
      <c r="D52" s="167"/>
      <c r="E52" s="167"/>
      <c r="F52" s="167"/>
      <c r="G52" s="41"/>
      <c r="H52" s="41"/>
      <c r="I52" s="41"/>
      <c r="J52" s="41"/>
      <c r="K52" s="168"/>
      <c r="L52" s="168"/>
      <c r="M52" s="168"/>
      <c r="N52" s="168"/>
      <c r="O52" s="154">
        <v>1</v>
      </c>
      <c r="P52" s="166" t="s">
        <v>386</v>
      </c>
      <c r="Q52" s="167">
        <v>1380</v>
      </c>
      <c r="R52" s="167"/>
      <c r="S52" s="167"/>
      <c r="T52" s="167"/>
      <c r="U52" s="168"/>
      <c r="V52" s="168"/>
      <c r="W52" s="168"/>
      <c r="X52" s="168"/>
      <c r="Y52" s="154"/>
      <c r="Z52" s="286"/>
      <c r="AA52" s="287"/>
      <c r="AB52" s="170">
        <v>1</v>
      </c>
      <c r="AC52" s="171" t="s">
        <v>387</v>
      </c>
      <c r="AD52" s="170">
        <f>Q52*1.1</f>
        <v>1518.0000000000002</v>
      </c>
      <c r="AE52" s="170"/>
      <c r="AF52" s="170"/>
      <c r="AG52" s="170"/>
      <c r="AH52" s="170">
        <v>1</v>
      </c>
      <c r="AI52" s="171" t="s">
        <v>387</v>
      </c>
      <c r="AJ52" s="170">
        <f t="shared" si="3"/>
        <v>1062.6000000000001</v>
      </c>
      <c r="AK52" s="170"/>
      <c r="AL52" s="170"/>
      <c r="AM52" s="170"/>
      <c r="AN52" s="176" t="s">
        <v>318</v>
      </c>
    </row>
    <row r="53" spans="1:40" ht="69.75" customHeight="1" x14ac:dyDescent="0.3">
      <c r="A53" s="154"/>
      <c r="B53" s="166"/>
      <c r="C53" s="167"/>
      <c r="D53" s="167"/>
      <c r="E53" s="167"/>
      <c r="F53" s="167"/>
      <c r="G53" s="41"/>
      <c r="H53" s="41"/>
      <c r="I53" s="41"/>
      <c r="J53" s="41"/>
      <c r="K53" s="168"/>
      <c r="L53" s="168"/>
      <c r="M53" s="168"/>
      <c r="N53" s="168"/>
      <c r="O53" s="154">
        <v>2</v>
      </c>
      <c r="P53" s="166" t="s">
        <v>388</v>
      </c>
      <c r="Q53" s="167">
        <v>1300</v>
      </c>
      <c r="R53" s="167"/>
      <c r="S53" s="167"/>
      <c r="T53" s="167"/>
      <c r="U53" s="168"/>
      <c r="V53" s="168"/>
      <c r="W53" s="168"/>
      <c r="X53" s="168"/>
      <c r="Y53" s="154"/>
      <c r="Z53" s="286"/>
      <c r="AA53" s="287"/>
      <c r="AB53" s="170">
        <v>2</v>
      </c>
      <c r="AC53" s="171" t="s">
        <v>389</v>
      </c>
      <c r="AD53" s="170">
        <f>Q53*1.1</f>
        <v>1430.0000000000002</v>
      </c>
      <c r="AE53" s="170"/>
      <c r="AF53" s="170"/>
      <c r="AG53" s="170"/>
      <c r="AH53" s="170">
        <v>2</v>
      </c>
      <c r="AI53" s="171" t="s">
        <v>389</v>
      </c>
      <c r="AJ53" s="170">
        <f t="shared" si="3"/>
        <v>1001.0000000000001</v>
      </c>
      <c r="AK53" s="170"/>
      <c r="AL53" s="170"/>
      <c r="AM53" s="170"/>
      <c r="AN53" s="176" t="s">
        <v>318</v>
      </c>
    </row>
    <row r="54" spans="1:40" ht="27" customHeight="1" x14ac:dyDescent="0.3">
      <c r="A54" s="154"/>
      <c r="B54" s="166"/>
      <c r="C54" s="167"/>
      <c r="D54" s="167"/>
      <c r="E54" s="167"/>
      <c r="F54" s="167"/>
      <c r="G54" s="41"/>
      <c r="H54" s="41"/>
      <c r="I54" s="41"/>
      <c r="J54" s="41"/>
      <c r="K54" s="168"/>
      <c r="L54" s="168"/>
      <c r="M54" s="168"/>
      <c r="N54" s="168"/>
      <c r="O54" s="156" t="s">
        <v>14</v>
      </c>
      <c r="P54" s="181" t="s">
        <v>390</v>
      </c>
      <c r="Q54" s="167"/>
      <c r="R54" s="167"/>
      <c r="S54" s="167"/>
      <c r="T54" s="167"/>
      <c r="U54" s="168"/>
      <c r="V54" s="168"/>
      <c r="W54" s="168"/>
      <c r="X54" s="168"/>
      <c r="Y54" s="154"/>
      <c r="Z54" s="286"/>
      <c r="AA54" s="287"/>
      <c r="AB54" s="163" t="s">
        <v>14</v>
      </c>
      <c r="AC54" s="183" t="s">
        <v>390</v>
      </c>
      <c r="AD54" s="170"/>
      <c r="AE54" s="170"/>
      <c r="AF54" s="170"/>
      <c r="AG54" s="170"/>
      <c r="AH54" s="163" t="s">
        <v>14</v>
      </c>
      <c r="AI54" s="183" t="s">
        <v>390</v>
      </c>
      <c r="AJ54" s="170"/>
      <c r="AK54" s="170"/>
      <c r="AL54" s="170"/>
      <c r="AM54" s="170"/>
      <c r="AN54" s="176"/>
    </row>
    <row r="55" spans="1:40" ht="51.75" customHeight="1" x14ac:dyDescent="0.3">
      <c r="A55" s="154"/>
      <c r="B55" s="166"/>
      <c r="C55" s="167"/>
      <c r="D55" s="167"/>
      <c r="E55" s="167"/>
      <c r="F55" s="167"/>
      <c r="G55" s="41"/>
      <c r="H55" s="41"/>
      <c r="I55" s="41"/>
      <c r="J55" s="41"/>
      <c r="K55" s="168"/>
      <c r="L55" s="168"/>
      <c r="M55" s="168"/>
      <c r="N55" s="168"/>
      <c r="O55" s="154">
        <v>1</v>
      </c>
      <c r="P55" s="166" t="s">
        <v>391</v>
      </c>
      <c r="Q55" s="167">
        <v>980</v>
      </c>
      <c r="R55" s="167"/>
      <c r="S55" s="167"/>
      <c r="T55" s="167"/>
      <c r="U55" s="168"/>
      <c r="V55" s="168"/>
      <c r="W55" s="168"/>
      <c r="X55" s="168"/>
      <c r="Y55" s="154"/>
      <c r="Z55" s="286"/>
      <c r="AA55" s="287"/>
      <c r="AB55" s="170">
        <v>1</v>
      </c>
      <c r="AC55" s="171" t="s">
        <v>392</v>
      </c>
      <c r="AD55" s="170">
        <f>Q55*1.1</f>
        <v>1078</v>
      </c>
      <c r="AE55" s="170"/>
      <c r="AF55" s="170"/>
      <c r="AG55" s="170"/>
      <c r="AH55" s="170">
        <v>1</v>
      </c>
      <c r="AI55" s="171" t="s">
        <v>392</v>
      </c>
      <c r="AJ55" s="170">
        <f t="shared" si="3"/>
        <v>754.59999999999991</v>
      </c>
      <c r="AK55" s="170"/>
      <c r="AL55" s="170"/>
      <c r="AM55" s="170"/>
      <c r="AN55" s="176" t="s">
        <v>318</v>
      </c>
    </row>
    <row r="56" spans="1:40" ht="27" customHeight="1" x14ac:dyDescent="0.3">
      <c r="A56" s="154"/>
      <c r="B56" s="166"/>
      <c r="C56" s="167"/>
      <c r="D56" s="167"/>
      <c r="E56" s="167"/>
      <c r="F56" s="167"/>
      <c r="G56" s="41"/>
      <c r="H56" s="41"/>
      <c r="I56" s="41"/>
      <c r="J56" s="41"/>
      <c r="K56" s="168"/>
      <c r="L56" s="168"/>
      <c r="M56" s="168"/>
      <c r="N56" s="168"/>
      <c r="O56" s="154">
        <v>2</v>
      </c>
      <c r="P56" s="166" t="s">
        <v>393</v>
      </c>
      <c r="Q56" s="167"/>
      <c r="R56" s="167"/>
      <c r="S56" s="167"/>
      <c r="T56" s="167"/>
      <c r="U56" s="168"/>
      <c r="V56" s="168"/>
      <c r="W56" s="168"/>
      <c r="X56" s="168"/>
      <c r="Y56" s="154"/>
      <c r="Z56" s="286"/>
      <c r="AA56" s="287"/>
      <c r="AB56" s="170">
        <v>2</v>
      </c>
      <c r="AC56" s="171" t="s">
        <v>394</v>
      </c>
      <c r="AD56" s="170"/>
      <c r="AE56" s="170"/>
      <c r="AF56" s="170"/>
      <c r="AG56" s="170"/>
      <c r="AH56" s="170">
        <v>2</v>
      </c>
      <c r="AI56" s="171" t="s">
        <v>394</v>
      </c>
      <c r="AJ56" s="170"/>
      <c r="AK56" s="170"/>
      <c r="AL56" s="170"/>
      <c r="AM56" s="170"/>
      <c r="AN56" s="176"/>
    </row>
    <row r="57" spans="1:40" ht="78.75" customHeight="1" x14ac:dyDescent="0.3">
      <c r="A57" s="154"/>
      <c r="B57" s="166"/>
      <c r="C57" s="167"/>
      <c r="D57" s="167"/>
      <c r="E57" s="167"/>
      <c r="F57" s="167"/>
      <c r="G57" s="41"/>
      <c r="H57" s="41"/>
      <c r="I57" s="41"/>
      <c r="J57" s="41"/>
      <c r="K57" s="168"/>
      <c r="L57" s="168"/>
      <c r="M57" s="168"/>
      <c r="N57" s="168"/>
      <c r="O57" s="154">
        <v>2.1</v>
      </c>
      <c r="P57" s="166" t="s">
        <v>395</v>
      </c>
      <c r="Q57" s="167">
        <v>670</v>
      </c>
      <c r="R57" s="167"/>
      <c r="S57" s="167"/>
      <c r="T57" s="167"/>
      <c r="U57" s="168"/>
      <c r="V57" s="168"/>
      <c r="W57" s="168"/>
      <c r="X57" s="168"/>
      <c r="Y57" s="154"/>
      <c r="Z57" s="286"/>
      <c r="AA57" s="287"/>
      <c r="AB57" s="170">
        <v>2.1</v>
      </c>
      <c r="AC57" s="171" t="s">
        <v>396</v>
      </c>
      <c r="AD57" s="170">
        <f t="shared" ref="AD57:AD62" si="6">Q57*1.1</f>
        <v>737.00000000000011</v>
      </c>
      <c r="AE57" s="170"/>
      <c r="AF57" s="170"/>
      <c r="AG57" s="170"/>
      <c r="AH57" s="197" t="s">
        <v>85</v>
      </c>
      <c r="AI57" s="171" t="s">
        <v>1064</v>
      </c>
      <c r="AJ57" s="170">
        <f t="shared" si="3"/>
        <v>515.90000000000009</v>
      </c>
      <c r="AK57" s="170"/>
      <c r="AL57" s="170"/>
      <c r="AM57" s="170"/>
      <c r="AN57" s="176" t="s">
        <v>318</v>
      </c>
    </row>
    <row r="58" spans="1:40" ht="65.25" customHeight="1" x14ac:dyDescent="0.3">
      <c r="A58" s="154"/>
      <c r="B58" s="166"/>
      <c r="C58" s="167"/>
      <c r="D58" s="167"/>
      <c r="E58" s="167"/>
      <c r="F58" s="167"/>
      <c r="G58" s="41"/>
      <c r="H58" s="41"/>
      <c r="I58" s="41"/>
      <c r="J58" s="41"/>
      <c r="K58" s="168"/>
      <c r="L58" s="168"/>
      <c r="M58" s="168"/>
      <c r="N58" s="168"/>
      <c r="O58" s="154">
        <v>2.2000000000000002</v>
      </c>
      <c r="P58" s="166" t="s">
        <v>397</v>
      </c>
      <c r="Q58" s="167">
        <v>670</v>
      </c>
      <c r="R58" s="167"/>
      <c r="S58" s="167"/>
      <c r="T58" s="167"/>
      <c r="U58" s="168"/>
      <c r="V58" s="168"/>
      <c r="W58" s="168"/>
      <c r="X58" s="168"/>
      <c r="Y58" s="154"/>
      <c r="Z58" s="286"/>
      <c r="AA58" s="287"/>
      <c r="AB58" s="170">
        <v>2.2000000000000002</v>
      </c>
      <c r="AC58" s="171" t="s">
        <v>398</v>
      </c>
      <c r="AD58" s="170">
        <f t="shared" si="6"/>
        <v>737.00000000000011</v>
      </c>
      <c r="AE58" s="170"/>
      <c r="AF58" s="170"/>
      <c r="AG58" s="170"/>
      <c r="AH58" s="197" t="s">
        <v>13</v>
      </c>
      <c r="AI58" s="171" t="s">
        <v>1065</v>
      </c>
      <c r="AJ58" s="170">
        <f t="shared" si="3"/>
        <v>515.90000000000009</v>
      </c>
      <c r="AK58" s="170"/>
      <c r="AL58" s="170"/>
      <c r="AM58" s="170"/>
      <c r="AN58" s="176" t="s">
        <v>318</v>
      </c>
    </row>
    <row r="59" spans="1:40" ht="66" customHeight="1" x14ac:dyDescent="0.3">
      <c r="A59" s="154"/>
      <c r="B59" s="166"/>
      <c r="C59" s="167"/>
      <c r="D59" s="167"/>
      <c r="E59" s="167"/>
      <c r="F59" s="167"/>
      <c r="G59" s="41"/>
      <c r="H59" s="41"/>
      <c r="I59" s="41"/>
      <c r="J59" s="41"/>
      <c r="K59" s="168"/>
      <c r="L59" s="168"/>
      <c r="M59" s="168"/>
      <c r="N59" s="168"/>
      <c r="O59" s="154">
        <v>2.2999999999999998</v>
      </c>
      <c r="P59" s="166" t="s">
        <v>399</v>
      </c>
      <c r="Q59" s="167">
        <v>980</v>
      </c>
      <c r="R59" s="167"/>
      <c r="S59" s="167"/>
      <c r="T59" s="167"/>
      <c r="U59" s="168"/>
      <c r="V59" s="168"/>
      <c r="W59" s="168"/>
      <c r="X59" s="168"/>
      <c r="Y59" s="154"/>
      <c r="Z59" s="286"/>
      <c r="AA59" s="287"/>
      <c r="AB59" s="170">
        <v>2.2999999999999998</v>
      </c>
      <c r="AC59" s="171" t="s">
        <v>400</v>
      </c>
      <c r="AD59" s="170">
        <f t="shared" si="6"/>
        <v>1078</v>
      </c>
      <c r="AE59" s="170"/>
      <c r="AF59" s="170"/>
      <c r="AG59" s="170"/>
      <c r="AH59" s="197" t="s">
        <v>1051</v>
      </c>
      <c r="AI59" s="171" t="s">
        <v>1066</v>
      </c>
      <c r="AJ59" s="170">
        <f t="shared" si="3"/>
        <v>754.59999999999991</v>
      </c>
      <c r="AK59" s="170"/>
      <c r="AL59" s="170"/>
      <c r="AM59" s="170"/>
      <c r="AN59" s="176" t="s">
        <v>318</v>
      </c>
    </row>
    <row r="60" spans="1:40" ht="47.25" customHeight="1" x14ac:dyDescent="0.3">
      <c r="A60" s="154"/>
      <c r="B60" s="166"/>
      <c r="C60" s="167"/>
      <c r="D60" s="167"/>
      <c r="E60" s="167"/>
      <c r="F60" s="167"/>
      <c r="G60" s="41"/>
      <c r="H60" s="41"/>
      <c r="I60" s="41"/>
      <c r="J60" s="41"/>
      <c r="K60" s="168"/>
      <c r="L60" s="168"/>
      <c r="M60" s="168"/>
      <c r="N60" s="168"/>
      <c r="O60" s="154">
        <v>3</v>
      </c>
      <c r="P60" s="166" t="s">
        <v>401</v>
      </c>
      <c r="Q60" s="167">
        <v>670</v>
      </c>
      <c r="R60" s="167"/>
      <c r="S60" s="167"/>
      <c r="T60" s="167"/>
      <c r="U60" s="168"/>
      <c r="V60" s="168"/>
      <c r="W60" s="168"/>
      <c r="X60" s="168"/>
      <c r="Y60" s="154"/>
      <c r="Z60" s="286"/>
      <c r="AA60" s="287"/>
      <c r="AB60" s="170">
        <v>3</v>
      </c>
      <c r="AC60" s="171" t="s">
        <v>402</v>
      </c>
      <c r="AD60" s="170">
        <f t="shared" si="6"/>
        <v>737.00000000000011</v>
      </c>
      <c r="AE60" s="170"/>
      <c r="AF60" s="170"/>
      <c r="AG60" s="170"/>
      <c r="AH60" s="170">
        <v>3</v>
      </c>
      <c r="AI60" s="171" t="s">
        <v>402</v>
      </c>
      <c r="AJ60" s="170">
        <f t="shared" si="3"/>
        <v>515.90000000000009</v>
      </c>
      <c r="AK60" s="170"/>
      <c r="AL60" s="170"/>
      <c r="AM60" s="170"/>
      <c r="AN60" s="176" t="s">
        <v>318</v>
      </c>
    </row>
    <row r="61" spans="1:40" ht="42.75" customHeight="1" x14ac:dyDescent="0.3">
      <c r="A61" s="154"/>
      <c r="B61" s="166"/>
      <c r="C61" s="167"/>
      <c r="D61" s="167"/>
      <c r="E61" s="167"/>
      <c r="F61" s="167"/>
      <c r="G61" s="41"/>
      <c r="H61" s="41"/>
      <c r="I61" s="41"/>
      <c r="J61" s="41"/>
      <c r="K61" s="168"/>
      <c r="L61" s="168"/>
      <c r="M61" s="168"/>
      <c r="N61" s="168"/>
      <c r="O61" s="154">
        <v>4</v>
      </c>
      <c r="P61" s="166" t="s">
        <v>403</v>
      </c>
      <c r="Q61" s="167">
        <v>910</v>
      </c>
      <c r="R61" s="167"/>
      <c r="S61" s="167"/>
      <c r="T61" s="167"/>
      <c r="U61" s="168"/>
      <c r="V61" s="168"/>
      <c r="W61" s="168"/>
      <c r="X61" s="168"/>
      <c r="Y61" s="154"/>
      <c r="Z61" s="286"/>
      <c r="AA61" s="287"/>
      <c r="AB61" s="170">
        <v>4</v>
      </c>
      <c r="AC61" s="171" t="s">
        <v>404</v>
      </c>
      <c r="AD61" s="170">
        <f t="shared" si="6"/>
        <v>1001.0000000000001</v>
      </c>
      <c r="AE61" s="170"/>
      <c r="AF61" s="170"/>
      <c r="AG61" s="170"/>
      <c r="AH61" s="170">
        <v>4</v>
      </c>
      <c r="AI61" s="171" t="s">
        <v>404</v>
      </c>
      <c r="AJ61" s="170">
        <f t="shared" si="3"/>
        <v>700.7</v>
      </c>
      <c r="AK61" s="170"/>
      <c r="AL61" s="170"/>
      <c r="AM61" s="170"/>
      <c r="AN61" s="176" t="s">
        <v>318</v>
      </c>
    </row>
    <row r="62" spans="1:40" ht="37.5" customHeight="1" x14ac:dyDescent="0.3">
      <c r="A62" s="154"/>
      <c r="B62" s="166"/>
      <c r="C62" s="167"/>
      <c r="D62" s="167"/>
      <c r="E62" s="167"/>
      <c r="F62" s="167"/>
      <c r="G62" s="41"/>
      <c r="H62" s="41"/>
      <c r="I62" s="41"/>
      <c r="J62" s="41"/>
      <c r="K62" s="168"/>
      <c r="L62" s="168"/>
      <c r="M62" s="168"/>
      <c r="N62" s="168"/>
      <c r="O62" s="154">
        <v>5</v>
      </c>
      <c r="P62" s="166" t="s">
        <v>405</v>
      </c>
      <c r="Q62" s="167">
        <v>785</v>
      </c>
      <c r="R62" s="167"/>
      <c r="S62" s="167"/>
      <c r="T62" s="167"/>
      <c r="U62" s="168"/>
      <c r="V62" s="168"/>
      <c r="W62" s="168"/>
      <c r="X62" s="168"/>
      <c r="Y62" s="154"/>
      <c r="Z62" s="286"/>
      <c r="AA62" s="287"/>
      <c r="AB62" s="170">
        <v>5</v>
      </c>
      <c r="AC62" s="171" t="s">
        <v>405</v>
      </c>
      <c r="AD62" s="170">
        <f t="shared" si="6"/>
        <v>863.50000000000011</v>
      </c>
      <c r="AE62" s="170"/>
      <c r="AF62" s="170"/>
      <c r="AG62" s="170"/>
      <c r="AH62" s="170">
        <v>5</v>
      </c>
      <c r="AI62" s="171" t="s">
        <v>405</v>
      </c>
      <c r="AJ62" s="170">
        <f t="shared" si="3"/>
        <v>604.45000000000005</v>
      </c>
      <c r="AK62" s="170"/>
      <c r="AL62" s="170"/>
      <c r="AM62" s="170"/>
      <c r="AN62" s="176" t="s">
        <v>315</v>
      </c>
    </row>
    <row r="63" spans="1:40" ht="67.5" customHeight="1" x14ac:dyDescent="0.3">
      <c r="A63" s="154"/>
      <c r="B63" s="166"/>
      <c r="C63" s="167"/>
      <c r="D63" s="167"/>
      <c r="E63" s="167"/>
      <c r="F63" s="167"/>
      <c r="G63" s="41"/>
      <c r="H63" s="41"/>
      <c r="I63" s="41"/>
      <c r="J63" s="41"/>
      <c r="K63" s="168"/>
      <c r="L63" s="168"/>
      <c r="M63" s="168"/>
      <c r="N63" s="168"/>
      <c r="O63" s="154">
        <v>6</v>
      </c>
      <c r="P63" s="166" t="s">
        <v>406</v>
      </c>
      <c r="Q63" s="167">
        <v>630</v>
      </c>
      <c r="R63" s="167"/>
      <c r="S63" s="167"/>
      <c r="T63" s="167"/>
      <c r="U63" s="168"/>
      <c r="V63" s="168"/>
      <c r="W63" s="168"/>
      <c r="X63" s="168"/>
      <c r="Y63" s="154"/>
      <c r="Z63" s="286"/>
      <c r="AA63" s="287"/>
      <c r="AB63" s="170">
        <v>6</v>
      </c>
      <c r="AC63" s="171" t="s">
        <v>407</v>
      </c>
      <c r="AD63" s="170">
        <v>761</v>
      </c>
      <c r="AE63" s="170"/>
      <c r="AF63" s="170"/>
      <c r="AG63" s="170"/>
      <c r="AH63" s="170">
        <v>6</v>
      </c>
      <c r="AI63" s="171" t="s">
        <v>407</v>
      </c>
      <c r="AJ63" s="170">
        <f t="shared" si="3"/>
        <v>532.69999999999993</v>
      </c>
      <c r="AK63" s="170"/>
      <c r="AL63" s="170"/>
      <c r="AM63" s="170"/>
      <c r="AN63" s="176" t="s">
        <v>408</v>
      </c>
    </row>
    <row r="64" spans="1:40" ht="38.25" customHeight="1" x14ac:dyDescent="0.3">
      <c r="A64" s="154"/>
      <c r="B64" s="166"/>
      <c r="C64" s="167"/>
      <c r="D64" s="167"/>
      <c r="E64" s="167"/>
      <c r="F64" s="167"/>
      <c r="G64" s="41"/>
      <c r="H64" s="41"/>
      <c r="I64" s="41"/>
      <c r="J64" s="41"/>
      <c r="K64" s="168"/>
      <c r="L64" s="168"/>
      <c r="M64" s="168"/>
      <c r="N64" s="168"/>
      <c r="O64" s="154">
        <v>7</v>
      </c>
      <c r="P64" s="166" t="s">
        <v>409</v>
      </c>
      <c r="Q64" s="167">
        <v>630</v>
      </c>
      <c r="R64" s="167"/>
      <c r="S64" s="167"/>
      <c r="T64" s="167"/>
      <c r="U64" s="168"/>
      <c r="V64" s="168"/>
      <c r="W64" s="168"/>
      <c r="X64" s="168"/>
      <c r="Y64" s="154"/>
      <c r="Z64" s="286"/>
      <c r="AA64" s="287"/>
      <c r="AB64" s="170">
        <v>7</v>
      </c>
      <c r="AC64" s="171" t="s">
        <v>410</v>
      </c>
      <c r="AD64" s="170">
        <f>Q64*1.1</f>
        <v>693</v>
      </c>
      <c r="AE64" s="170"/>
      <c r="AF64" s="170"/>
      <c r="AG64" s="170"/>
      <c r="AH64" s="170">
        <v>7</v>
      </c>
      <c r="AI64" s="171" t="s">
        <v>410</v>
      </c>
      <c r="AJ64" s="170">
        <f t="shared" si="3"/>
        <v>485.09999999999997</v>
      </c>
      <c r="AK64" s="170"/>
      <c r="AL64" s="170"/>
      <c r="AM64" s="170"/>
      <c r="AN64" s="176" t="s">
        <v>318</v>
      </c>
    </row>
    <row r="65" spans="1:40" ht="38.25" customHeight="1" x14ac:dyDescent="0.3">
      <c r="A65" s="154"/>
      <c r="B65" s="166"/>
      <c r="C65" s="167"/>
      <c r="D65" s="167"/>
      <c r="E65" s="167"/>
      <c r="F65" s="167"/>
      <c r="G65" s="41"/>
      <c r="H65" s="41"/>
      <c r="I65" s="41"/>
      <c r="J65" s="41"/>
      <c r="K65" s="168"/>
      <c r="L65" s="168"/>
      <c r="M65" s="168"/>
      <c r="N65" s="168"/>
      <c r="O65" s="154">
        <v>8</v>
      </c>
      <c r="P65" s="166" t="s">
        <v>411</v>
      </c>
      <c r="Q65" s="167">
        <v>630</v>
      </c>
      <c r="R65" s="167"/>
      <c r="S65" s="167"/>
      <c r="T65" s="167"/>
      <c r="U65" s="168"/>
      <c r="V65" s="168"/>
      <c r="W65" s="168"/>
      <c r="X65" s="168"/>
      <c r="Y65" s="154"/>
      <c r="Z65" s="286"/>
      <c r="AA65" s="287"/>
      <c r="AB65" s="170">
        <v>8</v>
      </c>
      <c r="AC65" s="177" t="s">
        <v>412</v>
      </c>
      <c r="AD65" s="170">
        <f>Q65*1.1</f>
        <v>693</v>
      </c>
      <c r="AE65" s="170"/>
      <c r="AF65" s="170"/>
      <c r="AG65" s="170"/>
      <c r="AH65" s="170">
        <v>8</v>
      </c>
      <c r="AI65" s="177" t="s">
        <v>412</v>
      </c>
      <c r="AJ65" s="170">
        <f t="shared" si="3"/>
        <v>485.09999999999997</v>
      </c>
      <c r="AK65" s="170"/>
      <c r="AL65" s="170"/>
      <c r="AM65" s="170"/>
      <c r="AN65" s="176" t="s">
        <v>318</v>
      </c>
    </row>
    <row r="66" spans="1:40" ht="51" customHeight="1" x14ac:dyDescent="0.3">
      <c r="A66" s="154"/>
      <c r="B66" s="166"/>
      <c r="C66" s="167"/>
      <c r="D66" s="167"/>
      <c r="E66" s="167"/>
      <c r="F66" s="167"/>
      <c r="G66" s="41"/>
      <c r="H66" s="41"/>
      <c r="I66" s="41"/>
      <c r="J66" s="41"/>
      <c r="K66" s="168"/>
      <c r="L66" s="168"/>
      <c r="M66" s="168"/>
      <c r="N66" s="168"/>
      <c r="O66" s="154">
        <v>9</v>
      </c>
      <c r="P66" s="166" t="s">
        <v>413</v>
      </c>
      <c r="Q66" s="167">
        <v>670</v>
      </c>
      <c r="R66" s="167"/>
      <c r="S66" s="167"/>
      <c r="T66" s="167"/>
      <c r="U66" s="168"/>
      <c r="V66" s="168"/>
      <c r="W66" s="168"/>
      <c r="X66" s="168"/>
      <c r="Y66" s="154"/>
      <c r="Z66" s="286"/>
      <c r="AA66" s="287"/>
      <c r="AB66" s="170">
        <v>9</v>
      </c>
      <c r="AC66" s="171" t="s">
        <v>414</v>
      </c>
      <c r="AD66" s="170">
        <f>Q66*1.1</f>
        <v>737.00000000000011</v>
      </c>
      <c r="AE66" s="170"/>
      <c r="AF66" s="170"/>
      <c r="AG66" s="170"/>
      <c r="AH66" s="170">
        <v>9</v>
      </c>
      <c r="AI66" s="171" t="s">
        <v>414</v>
      </c>
      <c r="AJ66" s="170">
        <f t="shared" si="3"/>
        <v>515.90000000000009</v>
      </c>
      <c r="AK66" s="170"/>
      <c r="AL66" s="170"/>
      <c r="AM66" s="170"/>
      <c r="AN66" s="176" t="s">
        <v>315</v>
      </c>
    </row>
    <row r="67" spans="1:40" ht="64.5" customHeight="1" x14ac:dyDescent="0.3">
      <c r="A67" s="154"/>
      <c r="B67" s="166"/>
      <c r="C67" s="167"/>
      <c r="D67" s="167"/>
      <c r="E67" s="167"/>
      <c r="F67" s="167"/>
      <c r="G67" s="41"/>
      <c r="H67" s="41"/>
      <c r="I67" s="41"/>
      <c r="J67" s="41"/>
      <c r="K67" s="168"/>
      <c r="L67" s="168"/>
      <c r="M67" s="168"/>
      <c r="N67" s="168"/>
      <c r="O67" s="154">
        <v>10</v>
      </c>
      <c r="P67" s="166" t="s">
        <v>415</v>
      </c>
      <c r="Q67" s="167">
        <v>740</v>
      </c>
      <c r="R67" s="167"/>
      <c r="S67" s="167"/>
      <c r="T67" s="167"/>
      <c r="U67" s="168"/>
      <c r="V67" s="168"/>
      <c r="W67" s="168"/>
      <c r="X67" s="168"/>
      <c r="Y67" s="154"/>
      <c r="Z67" s="286"/>
      <c r="AA67" s="287"/>
      <c r="AB67" s="170">
        <v>10</v>
      </c>
      <c r="AC67" s="171" t="s">
        <v>416</v>
      </c>
      <c r="AD67" s="170">
        <f>Q67*1.1</f>
        <v>814.00000000000011</v>
      </c>
      <c r="AE67" s="170"/>
      <c r="AF67" s="170"/>
      <c r="AG67" s="170"/>
      <c r="AH67" s="170">
        <v>10</v>
      </c>
      <c r="AI67" s="171" t="s">
        <v>416</v>
      </c>
      <c r="AJ67" s="170">
        <f t="shared" si="3"/>
        <v>569.80000000000007</v>
      </c>
      <c r="AK67" s="170"/>
      <c r="AL67" s="170"/>
      <c r="AM67" s="170"/>
      <c r="AN67" s="176" t="s">
        <v>318</v>
      </c>
    </row>
    <row r="68" spans="1:40" ht="26.25" customHeight="1" x14ac:dyDescent="0.3">
      <c r="A68" s="154"/>
      <c r="B68" s="166"/>
      <c r="C68" s="167"/>
      <c r="D68" s="167"/>
      <c r="E68" s="167"/>
      <c r="F68" s="167"/>
      <c r="G68" s="41"/>
      <c r="H68" s="41"/>
      <c r="I68" s="41"/>
      <c r="J68" s="41"/>
      <c r="K68" s="168"/>
      <c r="L68" s="168"/>
      <c r="M68" s="168"/>
      <c r="N68" s="168"/>
      <c r="O68" s="156">
        <v>11</v>
      </c>
      <c r="P68" s="186" t="s">
        <v>417</v>
      </c>
      <c r="Q68" s="167"/>
      <c r="R68" s="167"/>
      <c r="S68" s="167"/>
      <c r="T68" s="167"/>
      <c r="U68" s="168"/>
      <c r="V68" s="168"/>
      <c r="W68" s="168"/>
      <c r="X68" s="168"/>
      <c r="Y68" s="154"/>
      <c r="Z68" s="286"/>
      <c r="AA68" s="287"/>
      <c r="AB68" s="163">
        <v>11</v>
      </c>
      <c r="AC68" s="187" t="s">
        <v>418</v>
      </c>
      <c r="AD68" s="170"/>
      <c r="AE68" s="170"/>
      <c r="AF68" s="170"/>
      <c r="AG68" s="170"/>
      <c r="AH68" s="163">
        <v>11</v>
      </c>
      <c r="AI68" s="187" t="s">
        <v>418</v>
      </c>
      <c r="AJ68" s="170"/>
      <c r="AK68" s="170"/>
      <c r="AL68" s="170"/>
      <c r="AM68" s="170"/>
      <c r="AN68" s="176"/>
    </row>
    <row r="69" spans="1:40" ht="79.5" customHeight="1" x14ac:dyDescent="0.3">
      <c r="A69" s="154"/>
      <c r="B69" s="166"/>
      <c r="C69" s="167"/>
      <c r="D69" s="167"/>
      <c r="E69" s="167"/>
      <c r="F69" s="167"/>
      <c r="G69" s="41"/>
      <c r="H69" s="41"/>
      <c r="I69" s="41"/>
      <c r="J69" s="41"/>
      <c r="K69" s="168"/>
      <c r="L69" s="168"/>
      <c r="M69" s="168"/>
      <c r="N69" s="168"/>
      <c r="O69" s="154">
        <v>11.1</v>
      </c>
      <c r="P69" s="166" t="s">
        <v>419</v>
      </c>
      <c r="Q69" s="167">
        <v>670</v>
      </c>
      <c r="R69" s="167"/>
      <c r="S69" s="167"/>
      <c r="T69" s="167"/>
      <c r="U69" s="168"/>
      <c r="V69" s="168"/>
      <c r="W69" s="168"/>
      <c r="X69" s="168"/>
      <c r="Y69" s="154"/>
      <c r="Z69" s="286"/>
      <c r="AA69" s="287"/>
      <c r="AB69" s="170">
        <v>11.1</v>
      </c>
      <c r="AC69" s="171" t="s">
        <v>420</v>
      </c>
      <c r="AD69" s="170">
        <f>Q69*1.1</f>
        <v>737.00000000000011</v>
      </c>
      <c r="AE69" s="170"/>
      <c r="AF69" s="170"/>
      <c r="AG69" s="170"/>
      <c r="AH69" s="170">
        <v>11.1</v>
      </c>
      <c r="AI69" s="171" t="s">
        <v>420</v>
      </c>
      <c r="AJ69" s="170">
        <f t="shared" si="3"/>
        <v>515.90000000000009</v>
      </c>
      <c r="AK69" s="170"/>
      <c r="AL69" s="170"/>
      <c r="AM69" s="170"/>
      <c r="AN69" s="176" t="s">
        <v>318</v>
      </c>
    </row>
    <row r="70" spans="1:40" ht="75.75" customHeight="1" x14ac:dyDescent="0.3">
      <c r="A70" s="154"/>
      <c r="B70" s="166"/>
      <c r="C70" s="167"/>
      <c r="D70" s="167"/>
      <c r="E70" s="167"/>
      <c r="F70" s="167"/>
      <c r="G70" s="41"/>
      <c r="H70" s="41"/>
      <c r="I70" s="41"/>
      <c r="J70" s="41"/>
      <c r="K70" s="168"/>
      <c r="L70" s="168"/>
      <c r="M70" s="168"/>
      <c r="N70" s="168"/>
      <c r="O70" s="154">
        <v>11.2</v>
      </c>
      <c r="P70" s="166" t="s">
        <v>421</v>
      </c>
      <c r="Q70" s="167">
        <v>720</v>
      </c>
      <c r="R70" s="167"/>
      <c r="S70" s="167"/>
      <c r="T70" s="167"/>
      <c r="U70" s="168"/>
      <c r="V70" s="168"/>
      <c r="W70" s="168"/>
      <c r="X70" s="168"/>
      <c r="Y70" s="154"/>
      <c r="Z70" s="286"/>
      <c r="AA70" s="287"/>
      <c r="AB70" s="170">
        <v>11.2</v>
      </c>
      <c r="AC70" s="171" t="s">
        <v>422</v>
      </c>
      <c r="AD70" s="170">
        <f>Q70*1.1</f>
        <v>792.00000000000011</v>
      </c>
      <c r="AE70" s="170"/>
      <c r="AF70" s="170"/>
      <c r="AG70" s="170"/>
      <c r="AH70" s="170">
        <v>11.2</v>
      </c>
      <c r="AI70" s="171" t="s">
        <v>422</v>
      </c>
      <c r="AJ70" s="170">
        <f t="shared" si="3"/>
        <v>554.40000000000009</v>
      </c>
      <c r="AK70" s="170"/>
      <c r="AL70" s="170"/>
      <c r="AM70" s="170"/>
      <c r="AN70" s="176" t="s">
        <v>318</v>
      </c>
    </row>
    <row r="71" spans="1:40" s="191" customFormat="1" ht="32.25" customHeight="1" x14ac:dyDescent="0.3">
      <c r="A71" s="156"/>
      <c r="B71" s="181"/>
      <c r="C71" s="188"/>
      <c r="D71" s="188"/>
      <c r="E71" s="188"/>
      <c r="F71" s="188"/>
      <c r="G71" s="43"/>
      <c r="H71" s="43"/>
      <c r="I71" s="43"/>
      <c r="J71" s="43"/>
      <c r="K71" s="189"/>
      <c r="L71" s="189"/>
      <c r="M71" s="189"/>
      <c r="N71" s="189"/>
      <c r="O71" s="156">
        <v>12</v>
      </c>
      <c r="P71" s="181" t="s">
        <v>423</v>
      </c>
      <c r="Q71" s="188"/>
      <c r="R71" s="188"/>
      <c r="S71" s="188"/>
      <c r="T71" s="188"/>
      <c r="U71" s="189"/>
      <c r="V71" s="189"/>
      <c r="W71" s="189"/>
      <c r="X71" s="189"/>
      <c r="Y71" s="156"/>
      <c r="Z71" s="286"/>
      <c r="AA71" s="287"/>
      <c r="AB71" s="163">
        <v>12</v>
      </c>
      <c r="AC71" s="183" t="s">
        <v>423</v>
      </c>
      <c r="AD71" s="163"/>
      <c r="AE71" s="163"/>
      <c r="AF71" s="163"/>
      <c r="AG71" s="163"/>
      <c r="AH71" s="163">
        <v>12</v>
      </c>
      <c r="AI71" s="183" t="s">
        <v>423</v>
      </c>
      <c r="AJ71" s="170"/>
      <c r="AK71" s="163"/>
      <c r="AL71" s="163"/>
      <c r="AM71" s="163"/>
      <c r="AN71" s="190"/>
    </row>
    <row r="72" spans="1:40" ht="63.75" customHeight="1" x14ac:dyDescent="0.3">
      <c r="A72" s="154"/>
      <c r="B72" s="166"/>
      <c r="C72" s="167"/>
      <c r="D72" s="167"/>
      <c r="E72" s="167"/>
      <c r="F72" s="167"/>
      <c r="G72" s="41"/>
      <c r="H72" s="41"/>
      <c r="I72" s="41"/>
      <c r="J72" s="41"/>
      <c r="K72" s="168"/>
      <c r="L72" s="168"/>
      <c r="M72" s="168"/>
      <c r="N72" s="168"/>
      <c r="O72" s="154">
        <v>12.1</v>
      </c>
      <c r="P72" s="166" t="s">
        <v>424</v>
      </c>
      <c r="Q72" s="167">
        <v>740</v>
      </c>
      <c r="R72" s="167"/>
      <c r="S72" s="167"/>
      <c r="T72" s="167"/>
      <c r="U72" s="168"/>
      <c r="V72" s="168"/>
      <c r="W72" s="168"/>
      <c r="X72" s="168"/>
      <c r="Y72" s="154"/>
      <c r="Z72" s="286"/>
      <c r="AA72" s="287"/>
      <c r="AB72" s="170">
        <f>O72</f>
        <v>12.1</v>
      </c>
      <c r="AC72" s="171" t="s">
        <v>425</v>
      </c>
      <c r="AD72" s="170">
        <f t="shared" ref="AD72:AD87" si="7">Q72*1.1</f>
        <v>814.00000000000011</v>
      </c>
      <c r="AE72" s="170"/>
      <c r="AF72" s="170"/>
      <c r="AG72" s="170"/>
      <c r="AH72" s="198" t="s">
        <v>948</v>
      </c>
      <c r="AI72" s="171" t="s">
        <v>425</v>
      </c>
      <c r="AJ72" s="170">
        <f t="shared" si="3"/>
        <v>569.80000000000007</v>
      </c>
      <c r="AK72" s="170"/>
      <c r="AL72" s="170"/>
      <c r="AM72" s="170"/>
      <c r="AN72" s="176" t="s">
        <v>315</v>
      </c>
    </row>
    <row r="73" spans="1:40" ht="47.25" customHeight="1" x14ac:dyDescent="0.3">
      <c r="A73" s="154"/>
      <c r="B73" s="166"/>
      <c r="C73" s="167"/>
      <c r="D73" s="167"/>
      <c r="E73" s="167"/>
      <c r="F73" s="167"/>
      <c r="G73" s="41"/>
      <c r="H73" s="41"/>
      <c r="I73" s="41"/>
      <c r="J73" s="41"/>
      <c r="K73" s="168"/>
      <c r="L73" s="168"/>
      <c r="M73" s="168"/>
      <c r="N73" s="168"/>
      <c r="O73" s="154">
        <v>12.2</v>
      </c>
      <c r="P73" s="166" t="s">
        <v>426</v>
      </c>
      <c r="Q73" s="167">
        <v>660</v>
      </c>
      <c r="R73" s="167"/>
      <c r="S73" s="167"/>
      <c r="T73" s="167"/>
      <c r="U73" s="168"/>
      <c r="V73" s="168"/>
      <c r="W73" s="168"/>
      <c r="X73" s="168"/>
      <c r="Y73" s="154"/>
      <c r="Z73" s="286"/>
      <c r="AA73" s="287"/>
      <c r="AB73" s="170">
        <f>O73</f>
        <v>12.2</v>
      </c>
      <c r="AC73" s="171" t="s">
        <v>427</v>
      </c>
      <c r="AD73" s="170">
        <f t="shared" si="7"/>
        <v>726.00000000000011</v>
      </c>
      <c r="AE73" s="170"/>
      <c r="AF73" s="170"/>
      <c r="AG73" s="170"/>
      <c r="AH73" s="198" t="s">
        <v>949</v>
      </c>
      <c r="AI73" s="171" t="s">
        <v>427</v>
      </c>
      <c r="AJ73" s="170">
        <f t="shared" si="3"/>
        <v>508.20000000000005</v>
      </c>
      <c r="AK73" s="170"/>
      <c r="AL73" s="170"/>
      <c r="AM73" s="170"/>
      <c r="AN73" s="176" t="s">
        <v>315</v>
      </c>
    </row>
    <row r="74" spans="1:40" ht="48.75" customHeight="1" x14ac:dyDescent="0.3">
      <c r="A74" s="154"/>
      <c r="B74" s="166"/>
      <c r="C74" s="167"/>
      <c r="D74" s="167"/>
      <c r="E74" s="167"/>
      <c r="F74" s="167"/>
      <c r="G74" s="41"/>
      <c r="H74" s="41"/>
      <c r="I74" s="41"/>
      <c r="J74" s="41"/>
      <c r="K74" s="168"/>
      <c r="L74" s="168"/>
      <c r="M74" s="168"/>
      <c r="N74" s="168"/>
      <c r="O74" s="154">
        <v>13</v>
      </c>
      <c r="P74" s="166" t="s">
        <v>428</v>
      </c>
      <c r="Q74" s="167">
        <v>780</v>
      </c>
      <c r="R74" s="167"/>
      <c r="S74" s="167"/>
      <c r="T74" s="167"/>
      <c r="U74" s="168"/>
      <c r="V74" s="168"/>
      <c r="W74" s="168"/>
      <c r="X74" s="168"/>
      <c r="Y74" s="154"/>
      <c r="Z74" s="286"/>
      <c r="AA74" s="287"/>
      <c r="AB74" s="170">
        <f>O74</f>
        <v>13</v>
      </c>
      <c r="AC74" s="171" t="s">
        <v>429</v>
      </c>
      <c r="AD74" s="170">
        <f t="shared" si="7"/>
        <v>858.00000000000011</v>
      </c>
      <c r="AE74" s="170"/>
      <c r="AF74" s="170"/>
      <c r="AG74" s="170"/>
      <c r="AH74" s="198">
        <v>13</v>
      </c>
      <c r="AI74" s="171" t="s">
        <v>429</v>
      </c>
      <c r="AJ74" s="170">
        <f t="shared" si="3"/>
        <v>600.6</v>
      </c>
      <c r="AK74" s="170"/>
      <c r="AL74" s="170"/>
      <c r="AM74" s="170"/>
      <c r="AN74" s="176" t="s">
        <v>315</v>
      </c>
    </row>
    <row r="75" spans="1:40" ht="66.75" customHeight="1" x14ac:dyDescent="0.3">
      <c r="A75" s="154"/>
      <c r="B75" s="166"/>
      <c r="C75" s="167"/>
      <c r="D75" s="167"/>
      <c r="E75" s="167"/>
      <c r="F75" s="167"/>
      <c r="G75" s="41"/>
      <c r="H75" s="41"/>
      <c r="I75" s="41"/>
      <c r="J75" s="41"/>
      <c r="K75" s="168"/>
      <c r="L75" s="168"/>
      <c r="M75" s="168"/>
      <c r="N75" s="168"/>
      <c r="O75" s="154">
        <v>14</v>
      </c>
      <c r="P75" s="166" t="s">
        <v>430</v>
      </c>
      <c r="Q75" s="167">
        <v>785</v>
      </c>
      <c r="R75" s="167"/>
      <c r="S75" s="167"/>
      <c r="T75" s="167"/>
      <c r="U75" s="168"/>
      <c r="V75" s="168"/>
      <c r="W75" s="168"/>
      <c r="X75" s="168"/>
      <c r="Y75" s="154"/>
      <c r="Z75" s="286"/>
      <c r="AA75" s="287"/>
      <c r="AB75" s="170">
        <v>14</v>
      </c>
      <c r="AC75" s="171" t="s">
        <v>431</v>
      </c>
      <c r="AD75" s="170">
        <f t="shared" si="7"/>
        <v>863.50000000000011</v>
      </c>
      <c r="AE75" s="170"/>
      <c r="AF75" s="170"/>
      <c r="AG75" s="170"/>
      <c r="AH75" s="170">
        <v>14</v>
      </c>
      <c r="AI75" s="171" t="s">
        <v>431</v>
      </c>
      <c r="AJ75" s="170">
        <f t="shared" si="3"/>
        <v>604.45000000000005</v>
      </c>
      <c r="AK75" s="170"/>
      <c r="AL75" s="170"/>
      <c r="AM75" s="170"/>
      <c r="AN75" s="176" t="s">
        <v>318</v>
      </c>
    </row>
    <row r="76" spans="1:40" ht="65.25" customHeight="1" x14ac:dyDescent="0.3">
      <c r="A76" s="154"/>
      <c r="B76" s="166"/>
      <c r="C76" s="167"/>
      <c r="D76" s="167"/>
      <c r="E76" s="167"/>
      <c r="F76" s="167"/>
      <c r="G76" s="41"/>
      <c r="H76" s="41"/>
      <c r="I76" s="41"/>
      <c r="J76" s="41"/>
      <c r="K76" s="168"/>
      <c r="L76" s="168"/>
      <c r="M76" s="168"/>
      <c r="N76" s="168"/>
      <c r="O76" s="154">
        <v>15</v>
      </c>
      <c r="P76" s="166" t="s">
        <v>432</v>
      </c>
      <c r="Q76" s="167">
        <v>785</v>
      </c>
      <c r="R76" s="167"/>
      <c r="S76" s="167"/>
      <c r="T76" s="167"/>
      <c r="U76" s="168"/>
      <c r="V76" s="168"/>
      <c r="W76" s="168"/>
      <c r="X76" s="168"/>
      <c r="Y76" s="154"/>
      <c r="Z76" s="286"/>
      <c r="AA76" s="287"/>
      <c r="AB76" s="170">
        <v>15</v>
      </c>
      <c r="AC76" s="171" t="s">
        <v>433</v>
      </c>
      <c r="AD76" s="170">
        <f t="shared" si="7"/>
        <v>863.50000000000011</v>
      </c>
      <c r="AE76" s="170"/>
      <c r="AF76" s="170"/>
      <c r="AG76" s="170"/>
      <c r="AH76" s="170">
        <v>15</v>
      </c>
      <c r="AI76" s="171" t="s">
        <v>433</v>
      </c>
      <c r="AJ76" s="170">
        <f t="shared" si="3"/>
        <v>604.45000000000005</v>
      </c>
      <c r="AK76" s="170"/>
      <c r="AL76" s="170"/>
      <c r="AM76" s="170"/>
      <c r="AN76" s="176" t="s">
        <v>318</v>
      </c>
    </row>
    <row r="77" spans="1:40" ht="82.5" customHeight="1" x14ac:dyDescent="0.3">
      <c r="A77" s="154"/>
      <c r="B77" s="166"/>
      <c r="C77" s="167"/>
      <c r="D77" s="167"/>
      <c r="E77" s="167"/>
      <c r="F77" s="167"/>
      <c r="G77" s="41"/>
      <c r="H77" s="41"/>
      <c r="I77" s="41"/>
      <c r="J77" s="41"/>
      <c r="K77" s="168"/>
      <c r="L77" s="168"/>
      <c r="M77" s="168"/>
      <c r="N77" s="168"/>
      <c r="O77" s="154">
        <v>16</v>
      </c>
      <c r="P77" s="166" t="s">
        <v>434</v>
      </c>
      <c r="Q77" s="167">
        <v>785</v>
      </c>
      <c r="R77" s="167"/>
      <c r="S77" s="167"/>
      <c r="T77" s="167"/>
      <c r="U77" s="168"/>
      <c r="V77" s="168"/>
      <c r="W77" s="168"/>
      <c r="X77" s="168"/>
      <c r="Y77" s="154"/>
      <c r="Z77" s="286"/>
      <c r="AA77" s="287"/>
      <c r="AB77" s="170">
        <v>16</v>
      </c>
      <c r="AC77" s="171" t="s">
        <v>435</v>
      </c>
      <c r="AD77" s="170">
        <f t="shared" si="7"/>
        <v>863.50000000000011</v>
      </c>
      <c r="AE77" s="170"/>
      <c r="AF77" s="170"/>
      <c r="AG77" s="170"/>
      <c r="AH77" s="170">
        <v>16</v>
      </c>
      <c r="AI77" s="171" t="s">
        <v>435</v>
      </c>
      <c r="AJ77" s="170">
        <f t="shared" si="3"/>
        <v>604.45000000000005</v>
      </c>
      <c r="AK77" s="170"/>
      <c r="AL77" s="170"/>
      <c r="AM77" s="170"/>
      <c r="AN77" s="176" t="s">
        <v>318</v>
      </c>
    </row>
    <row r="78" spans="1:40" ht="51" customHeight="1" x14ac:dyDescent="0.3">
      <c r="A78" s="154"/>
      <c r="B78" s="166"/>
      <c r="C78" s="167"/>
      <c r="D78" s="167"/>
      <c r="E78" s="167"/>
      <c r="F78" s="167"/>
      <c r="G78" s="41"/>
      <c r="H78" s="41"/>
      <c r="I78" s="41"/>
      <c r="J78" s="41"/>
      <c r="K78" s="168"/>
      <c r="L78" s="168"/>
      <c r="M78" s="168"/>
      <c r="N78" s="168"/>
      <c r="O78" s="154">
        <v>17</v>
      </c>
      <c r="P78" s="166" t="s">
        <v>436</v>
      </c>
      <c r="Q78" s="167">
        <v>785</v>
      </c>
      <c r="R78" s="167"/>
      <c r="S78" s="167"/>
      <c r="T78" s="167"/>
      <c r="U78" s="168"/>
      <c r="V78" s="168"/>
      <c r="W78" s="168"/>
      <c r="X78" s="168"/>
      <c r="Y78" s="154"/>
      <c r="Z78" s="286"/>
      <c r="AA78" s="287"/>
      <c r="AB78" s="170">
        <v>17</v>
      </c>
      <c r="AC78" s="171" t="s">
        <v>437</v>
      </c>
      <c r="AD78" s="170">
        <f t="shared" si="7"/>
        <v>863.50000000000011</v>
      </c>
      <c r="AE78" s="170"/>
      <c r="AF78" s="170"/>
      <c r="AG78" s="170"/>
      <c r="AH78" s="170">
        <v>17</v>
      </c>
      <c r="AI78" s="171" t="s">
        <v>437</v>
      </c>
      <c r="AJ78" s="170">
        <f t="shared" si="3"/>
        <v>604.45000000000005</v>
      </c>
      <c r="AK78" s="170"/>
      <c r="AL78" s="170"/>
      <c r="AM78" s="170"/>
      <c r="AN78" s="176" t="s">
        <v>318</v>
      </c>
    </row>
    <row r="79" spans="1:40" ht="51" customHeight="1" x14ac:dyDescent="0.3">
      <c r="A79" s="154"/>
      <c r="B79" s="166"/>
      <c r="C79" s="167"/>
      <c r="D79" s="167"/>
      <c r="E79" s="167"/>
      <c r="F79" s="167"/>
      <c r="G79" s="41"/>
      <c r="H79" s="41"/>
      <c r="I79" s="41"/>
      <c r="J79" s="41"/>
      <c r="K79" s="168"/>
      <c r="L79" s="168"/>
      <c r="M79" s="168"/>
      <c r="N79" s="168"/>
      <c r="O79" s="154">
        <v>18</v>
      </c>
      <c r="P79" s="166" t="s">
        <v>438</v>
      </c>
      <c r="Q79" s="167">
        <v>785</v>
      </c>
      <c r="R79" s="167"/>
      <c r="S79" s="167"/>
      <c r="T79" s="167"/>
      <c r="U79" s="168"/>
      <c r="V79" s="168"/>
      <c r="W79" s="168"/>
      <c r="X79" s="168"/>
      <c r="Y79" s="154"/>
      <c r="Z79" s="286"/>
      <c r="AA79" s="287"/>
      <c r="AB79" s="170">
        <v>18</v>
      </c>
      <c r="AC79" s="171" t="s">
        <v>439</v>
      </c>
      <c r="AD79" s="170">
        <f t="shared" si="7"/>
        <v>863.50000000000011</v>
      </c>
      <c r="AE79" s="170"/>
      <c r="AF79" s="170"/>
      <c r="AG79" s="170"/>
      <c r="AH79" s="170">
        <v>18</v>
      </c>
      <c r="AI79" s="171" t="s">
        <v>439</v>
      </c>
      <c r="AJ79" s="170">
        <f t="shared" ref="AJ79:AJ142" si="8">AD79*0.7</f>
        <v>604.45000000000005</v>
      </c>
      <c r="AK79" s="170"/>
      <c r="AL79" s="170"/>
      <c r="AM79" s="170"/>
      <c r="AN79" s="176" t="s">
        <v>318</v>
      </c>
    </row>
    <row r="80" spans="1:40" ht="51" customHeight="1" x14ac:dyDescent="0.3">
      <c r="A80" s="154"/>
      <c r="B80" s="166"/>
      <c r="C80" s="167"/>
      <c r="D80" s="167"/>
      <c r="E80" s="167"/>
      <c r="F80" s="167"/>
      <c r="G80" s="41"/>
      <c r="H80" s="41"/>
      <c r="I80" s="41"/>
      <c r="J80" s="41"/>
      <c r="K80" s="168"/>
      <c r="L80" s="168"/>
      <c r="M80" s="168"/>
      <c r="N80" s="168"/>
      <c r="O80" s="154">
        <v>19</v>
      </c>
      <c r="P80" s="166" t="s">
        <v>440</v>
      </c>
      <c r="Q80" s="167">
        <v>670</v>
      </c>
      <c r="R80" s="167"/>
      <c r="S80" s="167"/>
      <c r="T80" s="167"/>
      <c r="U80" s="168"/>
      <c r="V80" s="168"/>
      <c r="W80" s="168"/>
      <c r="X80" s="168"/>
      <c r="Y80" s="154"/>
      <c r="Z80" s="286"/>
      <c r="AA80" s="287"/>
      <c r="AB80" s="170">
        <v>19</v>
      </c>
      <c r="AC80" s="171" t="s">
        <v>441</v>
      </c>
      <c r="AD80" s="170">
        <f t="shared" si="7"/>
        <v>737.00000000000011</v>
      </c>
      <c r="AE80" s="170"/>
      <c r="AF80" s="170"/>
      <c r="AG80" s="170"/>
      <c r="AH80" s="170">
        <v>19</v>
      </c>
      <c r="AI80" s="171" t="s">
        <v>441</v>
      </c>
      <c r="AJ80" s="170">
        <f t="shared" si="8"/>
        <v>515.90000000000009</v>
      </c>
      <c r="AK80" s="170"/>
      <c r="AL80" s="170"/>
      <c r="AM80" s="170"/>
      <c r="AN80" s="176" t="s">
        <v>318</v>
      </c>
    </row>
    <row r="81" spans="1:40" ht="51" customHeight="1" x14ac:dyDescent="0.3">
      <c r="A81" s="154"/>
      <c r="B81" s="166"/>
      <c r="C81" s="167"/>
      <c r="D81" s="167"/>
      <c r="E81" s="167"/>
      <c r="F81" s="167"/>
      <c r="G81" s="41"/>
      <c r="H81" s="41"/>
      <c r="I81" s="41"/>
      <c r="J81" s="41"/>
      <c r="K81" s="168"/>
      <c r="L81" s="168"/>
      <c r="M81" s="168"/>
      <c r="N81" s="168"/>
      <c r="O81" s="154">
        <v>20</v>
      </c>
      <c r="P81" s="166" t="s">
        <v>442</v>
      </c>
      <c r="Q81" s="167">
        <v>670</v>
      </c>
      <c r="R81" s="167"/>
      <c r="S81" s="167"/>
      <c r="T81" s="167"/>
      <c r="U81" s="168"/>
      <c r="V81" s="168"/>
      <c r="W81" s="168"/>
      <c r="X81" s="168"/>
      <c r="Y81" s="154"/>
      <c r="Z81" s="286"/>
      <c r="AA81" s="287"/>
      <c r="AB81" s="170">
        <v>20</v>
      </c>
      <c r="AC81" s="171" t="s">
        <v>443</v>
      </c>
      <c r="AD81" s="170">
        <f t="shared" si="7"/>
        <v>737.00000000000011</v>
      </c>
      <c r="AE81" s="170"/>
      <c r="AF81" s="170"/>
      <c r="AG81" s="170"/>
      <c r="AH81" s="170">
        <v>20</v>
      </c>
      <c r="AI81" s="171" t="s">
        <v>443</v>
      </c>
      <c r="AJ81" s="170">
        <f t="shared" si="8"/>
        <v>515.90000000000009</v>
      </c>
      <c r="AK81" s="170"/>
      <c r="AL81" s="170"/>
      <c r="AM81" s="170"/>
      <c r="AN81" s="176" t="s">
        <v>318</v>
      </c>
    </row>
    <row r="82" spans="1:40" ht="51" customHeight="1" x14ac:dyDescent="0.3">
      <c r="A82" s="154"/>
      <c r="B82" s="166"/>
      <c r="C82" s="167"/>
      <c r="D82" s="167"/>
      <c r="E82" s="167"/>
      <c r="F82" s="167"/>
      <c r="G82" s="41"/>
      <c r="H82" s="41"/>
      <c r="I82" s="41"/>
      <c r="J82" s="41"/>
      <c r="K82" s="168"/>
      <c r="L82" s="168"/>
      <c r="M82" s="168"/>
      <c r="N82" s="168"/>
      <c r="O82" s="154">
        <v>21</v>
      </c>
      <c r="P82" s="166" t="s">
        <v>444</v>
      </c>
      <c r="Q82" s="167">
        <v>670</v>
      </c>
      <c r="R82" s="167"/>
      <c r="S82" s="167"/>
      <c r="T82" s="167"/>
      <c r="U82" s="168"/>
      <c r="V82" s="168"/>
      <c r="W82" s="168"/>
      <c r="X82" s="168"/>
      <c r="Y82" s="154"/>
      <c r="Z82" s="286"/>
      <c r="AA82" s="287"/>
      <c r="AB82" s="170">
        <v>21</v>
      </c>
      <c r="AC82" s="171" t="s">
        <v>445</v>
      </c>
      <c r="AD82" s="170">
        <f t="shared" si="7"/>
        <v>737.00000000000011</v>
      </c>
      <c r="AE82" s="170"/>
      <c r="AF82" s="170"/>
      <c r="AG82" s="170"/>
      <c r="AH82" s="170">
        <v>21</v>
      </c>
      <c r="AI82" s="171" t="s">
        <v>445</v>
      </c>
      <c r="AJ82" s="170">
        <f t="shared" si="8"/>
        <v>515.90000000000009</v>
      </c>
      <c r="AK82" s="170"/>
      <c r="AL82" s="170"/>
      <c r="AM82" s="170"/>
      <c r="AN82" s="176" t="s">
        <v>318</v>
      </c>
    </row>
    <row r="83" spans="1:40" ht="36" customHeight="1" x14ac:dyDescent="0.3">
      <c r="A83" s="154"/>
      <c r="B83" s="166"/>
      <c r="C83" s="167"/>
      <c r="D83" s="167"/>
      <c r="E83" s="167"/>
      <c r="F83" s="167"/>
      <c r="G83" s="41"/>
      <c r="H83" s="41"/>
      <c r="I83" s="41"/>
      <c r="J83" s="41"/>
      <c r="K83" s="168"/>
      <c r="L83" s="168"/>
      <c r="M83" s="168"/>
      <c r="N83" s="168"/>
      <c r="O83" s="154">
        <v>22</v>
      </c>
      <c r="P83" s="166" t="s">
        <v>446</v>
      </c>
      <c r="Q83" s="167">
        <v>670</v>
      </c>
      <c r="R83" s="167"/>
      <c r="S83" s="167"/>
      <c r="T83" s="167"/>
      <c r="U83" s="168"/>
      <c r="V83" s="168"/>
      <c r="W83" s="168"/>
      <c r="X83" s="168"/>
      <c r="Y83" s="154"/>
      <c r="Z83" s="286"/>
      <c r="AA83" s="287"/>
      <c r="AB83" s="170">
        <v>22</v>
      </c>
      <c r="AC83" s="171" t="s">
        <v>447</v>
      </c>
      <c r="AD83" s="170">
        <f t="shared" si="7"/>
        <v>737.00000000000011</v>
      </c>
      <c r="AE83" s="170"/>
      <c r="AF83" s="170"/>
      <c r="AG83" s="170"/>
      <c r="AH83" s="170">
        <v>22</v>
      </c>
      <c r="AI83" s="171" t="s">
        <v>447</v>
      </c>
      <c r="AJ83" s="170">
        <f t="shared" si="8"/>
        <v>515.90000000000009</v>
      </c>
      <c r="AK83" s="170"/>
      <c r="AL83" s="170"/>
      <c r="AM83" s="170"/>
      <c r="AN83" s="176" t="s">
        <v>318</v>
      </c>
    </row>
    <row r="84" spans="1:40" ht="51" customHeight="1" x14ac:dyDescent="0.3">
      <c r="A84" s="154"/>
      <c r="B84" s="166"/>
      <c r="C84" s="167"/>
      <c r="D84" s="167"/>
      <c r="E84" s="167"/>
      <c r="F84" s="167"/>
      <c r="G84" s="41"/>
      <c r="H84" s="41"/>
      <c r="I84" s="41"/>
      <c r="J84" s="41"/>
      <c r="K84" s="168"/>
      <c r="L84" s="168"/>
      <c r="M84" s="168"/>
      <c r="N84" s="168"/>
      <c r="O84" s="154">
        <v>23</v>
      </c>
      <c r="P84" s="166" t="s">
        <v>448</v>
      </c>
      <c r="Q84" s="167">
        <v>630</v>
      </c>
      <c r="R84" s="167"/>
      <c r="S84" s="167"/>
      <c r="T84" s="167"/>
      <c r="U84" s="168"/>
      <c r="V84" s="168"/>
      <c r="W84" s="168"/>
      <c r="X84" s="168"/>
      <c r="Y84" s="154"/>
      <c r="Z84" s="286"/>
      <c r="AA84" s="287"/>
      <c r="AB84" s="170">
        <v>23</v>
      </c>
      <c r="AC84" s="171" t="s">
        <v>449</v>
      </c>
      <c r="AD84" s="170">
        <f t="shared" si="7"/>
        <v>693</v>
      </c>
      <c r="AE84" s="170"/>
      <c r="AF84" s="170"/>
      <c r="AG84" s="170"/>
      <c r="AH84" s="170">
        <v>23</v>
      </c>
      <c r="AI84" s="171" t="s">
        <v>449</v>
      </c>
      <c r="AJ84" s="170">
        <f t="shared" si="8"/>
        <v>485.09999999999997</v>
      </c>
      <c r="AK84" s="170"/>
      <c r="AL84" s="170"/>
      <c r="AM84" s="170"/>
      <c r="AN84" s="176" t="s">
        <v>318</v>
      </c>
    </row>
    <row r="85" spans="1:40" ht="51" customHeight="1" x14ac:dyDescent="0.3">
      <c r="A85" s="154"/>
      <c r="B85" s="166"/>
      <c r="C85" s="167"/>
      <c r="D85" s="167"/>
      <c r="E85" s="167"/>
      <c r="F85" s="167"/>
      <c r="G85" s="41"/>
      <c r="H85" s="41"/>
      <c r="I85" s="41"/>
      <c r="J85" s="41"/>
      <c r="K85" s="168"/>
      <c r="L85" s="168"/>
      <c r="M85" s="168"/>
      <c r="N85" s="168"/>
      <c r="O85" s="154">
        <v>24</v>
      </c>
      <c r="P85" s="166" t="s">
        <v>450</v>
      </c>
      <c r="Q85" s="167">
        <v>630</v>
      </c>
      <c r="R85" s="167"/>
      <c r="S85" s="167"/>
      <c r="T85" s="167"/>
      <c r="U85" s="168"/>
      <c r="V85" s="168"/>
      <c r="W85" s="168"/>
      <c r="X85" s="168"/>
      <c r="Y85" s="154"/>
      <c r="Z85" s="286"/>
      <c r="AA85" s="287"/>
      <c r="AB85" s="170">
        <v>24</v>
      </c>
      <c r="AC85" s="171" t="s">
        <v>451</v>
      </c>
      <c r="AD85" s="170">
        <f t="shared" si="7"/>
        <v>693</v>
      </c>
      <c r="AE85" s="170"/>
      <c r="AF85" s="170"/>
      <c r="AG85" s="170"/>
      <c r="AH85" s="170">
        <v>24</v>
      </c>
      <c r="AI85" s="171" t="s">
        <v>451</v>
      </c>
      <c r="AJ85" s="170">
        <f t="shared" si="8"/>
        <v>485.09999999999997</v>
      </c>
      <c r="AK85" s="170"/>
      <c r="AL85" s="170"/>
      <c r="AM85" s="170"/>
      <c r="AN85" s="176" t="s">
        <v>315</v>
      </c>
    </row>
    <row r="86" spans="1:40" ht="55.5" customHeight="1" x14ac:dyDescent="0.3">
      <c r="A86" s="154"/>
      <c r="B86" s="166"/>
      <c r="C86" s="167"/>
      <c r="D86" s="167"/>
      <c r="E86" s="167"/>
      <c r="F86" s="167"/>
      <c r="G86" s="41"/>
      <c r="H86" s="41"/>
      <c r="I86" s="41"/>
      <c r="J86" s="41"/>
      <c r="K86" s="168"/>
      <c r="L86" s="168"/>
      <c r="M86" s="168"/>
      <c r="N86" s="168"/>
      <c r="O86" s="154">
        <v>25</v>
      </c>
      <c r="P86" s="166" t="s">
        <v>452</v>
      </c>
      <c r="Q86" s="167">
        <v>630</v>
      </c>
      <c r="R86" s="167"/>
      <c r="S86" s="167"/>
      <c r="T86" s="167"/>
      <c r="U86" s="168"/>
      <c r="V86" s="168"/>
      <c r="W86" s="168"/>
      <c r="X86" s="168"/>
      <c r="Y86" s="154"/>
      <c r="Z86" s="286"/>
      <c r="AA86" s="287"/>
      <c r="AB86" s="170">
        <v>25</v>
      </c>
      <c r="AC86" s="171" t="s">
        <v>453</v>
      </c>
      <c r="AD86" s="170">
        <f t="shared" si="7"/>
        <v>693</v>
      </c>
      <c r="AE86" s="170"/>
      <c r="AF86" s="170"/>
      <c r="AG86" s="170"/>
      <c r="AH86" s="170">
        <v>25</v>
      </c>
      <c r="AI86" s="171" t="s">
        <v>453</v>
      </c>
      <c r="AJ86" s="170">
        <f t="shared" si="8"/>
        <v>485.09999999999997</v>
      </c>
      <c r="AK86" s="170"/>
      <c r="AL86" s="170"/>
      <c r="AM86" s="170"/>
      <c r="AN86" s="176" t="s">
        <v>315</v>
      </c>
    </row>
    <row r="87" spans="1:40" ht="47.25" customHeight="1" x14ac:dyDescent="0.3">
      <c r="A87" s="154"/>
      <c r="B87" s="166"/>
      <c r="C87" s="167"/>
      <c r="D87" s="167"/>
      <c r="E87" s="167"/>
      <c r="F87" s="167"/>
      <c r="G87" s="41"/>
      <c r="H87" s="41"/>
      <c r="I87" s="41"/>
      <c r="J87" s="41"/>
      <c r="K87" s="168"/>
      <c r="L87" s="168"/>
      <c r="M87" s="168"/>
      <c r="N87" s="168"/>
      <c r="O87" s="154">
        <v>26</v>
      </c>
      <c r="P87" s="166" t="s">
        <v>454</v>
      </c>
      <c r="Q87" s="167">
        <v>630</v>
      </c>
      <c r="R87" s="167"/>
      <c r="S87" s="167"/>
      <c r="T87" s="167"/>
      <c r="U87" s="168"/>
      <c r="V87" s="168"/>
      <c r="W87" s="168"/>
      <c r="X87" s="168"/>
      <c r="Y87" s="154"/>
      <c r="Z87" s="286"/>
      <c r="AA87" s="287"/>
      <c r="AB87" s="170">
        <v>26</v>
      </c>
      <c r="AC87" s="171" t="s">
        <v>455</v>
      </c>
      <c r="AD87" s="170">
        <f t="shared" si="7"/>
        <v>693</v>
      </c>
      <c r="AE87" s="170"/>
      <c r="AF87" s="170"/>
      <c r="AG87" s="170"/>
      <c r="AH87" s="170">
        <v>26</v>
      </c>
      <c r="AI87" s="171" t="s">
        <v>1067</v>
      </c>
      <c r="AJ87" s="170">
        <f t="shared" si="8"/>
        <v>485.09999999999997</v>
      </c>
      <c r="AK87" s="170"/>
      <c r="AL87" s="170"/>
      <c r="AM87" s="170"/>
      <c r="AN87" s="176" t="s">
        <v>318</v>
      </c>
    </row>
    <row r="88" spans="1:40" ht="60.75" customHeight="1" x14ac:dyDescent="0.3">
      <c r="A88" s="154"/>
      <c r="B88" s="166"/>
      <c r="C88" s="167"/>
      <c r="D88" s="167"/>
      <c r="E88" s="167"/>
      <c r="F88" s="167"/>
      <c r="G88" s="41"/>
      <c r="H88" s="41"/>
      <c r="I88" s="41"/>
      <c r="J88" s="41"/>
      <c r="K88" s="168"/>
      <c r="L88" s="168"/>
      <c r="M88" s="168"/>
      <c r="N88" s="168"/>
      <c r="O88" s="154">
        <v>27</v>
      </c>
      <c r="P88" s="166" t="s">
        <v>456</v>
      </c>
      <c r="Q88" s="167">
        <v>630</v>
      </c>
      <c r="R88" s="167"/>
      <c r="S88" s="167"/>
      <c r="T88" s="167"/>
      <c r="U88" s="168"/>
      <c r="V88" s="168"/>
      <c r="W88" s="168"/>
      <c r="X88" s="168"/>
      <c r="Y88" s="154"/>
      <c r="Z88" s="286"/>
      <c r="AA88" s="287"/>
      <c r="AB88" s="170">
        <v>27</v>
      </c>
      <c r="AC88" s="171" t="s">
        <v>457</v>
      </c>
      <c r="AD88" s="170">
        <v>763</v>
      </c>
      <c r="AE88" s="170"/>
      <c r="AF88" s="170"/>
      <c r="AG88" s="170"/>
      <c r="AH88" s="170">
        <v>27</v>
      </c>
      <c r="AI88" s="171" t="s">
        <v>1068</v>
      </c>
      <c r="AJ88" s="170">
        <f t="shared" si="8"/>
        <v>534.1</v>
      </c>
      <c r="AK88" s="170"/>
      <c r="AL88" s="170"/>
      <c r="AM88" s="170"/>
      <c r="AN88" s="176" t="s">
        <v>458</v>
      </c>
    </row>
    <row r="89" spans="1:40" ht="32.25" customHeight="1" x14ac:dyDescent="0.3">
      <c r="A89" s="154"/>
      <c r="B89" s="166"/>
      <c r="C89" s="167"/>
      <c r="D89" s="167"/>
      <c r="E89" s="167"/>
      <c r="F89" s="167"/>
      <c r="G89" s="41"/>
      <c r="H89" s="41"/>
      <c r="I89" s="41"/>
      <c r="J89" s="41"/>
      <c r="K89" s="168"/>
      <c r="L89" s="168"/>
      <c r="M89" s="168"/>
      <c r="N89" s="168"/>
      <c r="O89" s="154" t="s">
        <v>459</v>
      </c>
      <c r="P89" s="186" t="s">
        <v>460</v>
      </c>
      <c r="Q89" s="167"/>
      <c r="R89" s="167"/>
      <c r="S89" s="167"/>
      <c r="T89" s="167"/>
      <c r="U89" s="168"/>
      <c r="V89" s="168"/>
      <c r="W89" s="168"/>
      <c r="X89" s="168"/>
      <c r="Y89" s="154"/>
      <c r="Z89" s="286"/>
      <c r="AA89" s="287"/>
      <c r="AB89" s="170" t="s">
        <v>459</v>
      </c>
      <c r="AC89" s="187" t="s">
        <v>460</v>
      </c>
      <c r="AD89" s="170"/>
      <c r="AE89" s="170"/>
      <c r="AF89" s="170"/>
      <c r="AG89" s="170"/>
      <c r="AH89" s="163" t="s">
        <v>459</v>
      </c>
      <c r="AI89" s="187" t="s">
        <v>460</v>
      </c>
      <c r="AJ89" s="170"/>
      <c r="AK89" s="170"/>
      <c r="AL89" s="170"/>
      <c r="AM89" s="170"/>
      <c r="AN89" s="176"/>
    </row>
    <row r="90" spans="1:40" ht="30.75" customHeight="1" x14ac:dyDescent="0.3">
      <c r="A90" s="154"/>
      <c r="B90" s="166"/>
      <c r="C90" s="167"/>
      <c r="D90" s="167"/>
      <c r="E90" s="167"/>
      <c r="F90" s="167"/>
      <c r="G90" s="41"/>
      <c r="H90" s="41"/>
      <c r="I90" s="41"/>
      <c r="J90" s="41"/>
      <c r="K90" s="168"/>
      <c r="L90" s="168"/>
      <c r="M90" s="168"/>
      <c r="N90" s="168"/>
      <c r="O90" s="154" t="s">
        <v>7</v>
      </c>
      <c r="P90" s="186" t="s">
        <v>461</v>
      </c>
      <c r="Q90" s="167"/>
      <c r="R90" s="167"/>
      <c r="S90" s="167"/>
      <c r="T90" s="167"/>
      <c r="U90" s="168"/>
      <c r="V90" s="168"/>
      <c r="W90" s="168"/>
      <c r="X90" s="168"/>
      <c r="Y90" s="154"/>
      <c r="Z90" s="286"/>
      <c r="AA90" s="287"/>
      <c r="AB90" s="170" t="s">
        <v>7</v>
      </c>
      <c r="AC90" s="187" t="s">
        <v>385</v>
      </c>
      <c r="AD90" s="170"/>
      <c r="AE90" s="170"/>
      <c r="AF90" s="170"/>
      <c r="AG90" s="170"/>
      <c r="AH90" s="163" t="s">
        <v>7</v>
      </c>
      <c r="AI90" s="187" t="s">
        <v>385</v>
      </c>
      <c r="AJ90" s="170"/>
      <c r="AK90" s="170"/>
      <c r="AL90" s="170"/>
      <c r="AM90" s="170"/>
      <c r="AN90" s="176"/>
    </row>
    <row r="91" spans="1:40" ht="60.75" customHeight="1" x14ac:dyDescent="0.3">
      <c r="A91" s="154"/>
      <c r="B91" s="166"/>
      <c r="C91" s="167"/>
      <c r="D91" s="167"/>
      <c r="E91" s="167"/>
      <c r="F91" s="167"/>
      <c r="G91" s="41"/>
      <c r="H91" s="41"/>
      <c r="I91" s="41"/>
      <c r="J91" s="41"/>
      <c r="K91" s="168"/>
      <c r="L91" s="168"/>
      <c r="M91" s="168"/>
      <c r="N91" s="168"/>
      <c r="O91" s="154">
        <v>1</v>
      </c>
      <c r="P91" s="166" t="s">
        <v>462</v>
      </c>
      <c r="Q91" s="167">
        <v>1600</v>
      </c>
      <c r="R91" s="167"/>
      <c r="S91" s="167"/>
      <c r="T91" s="167"/>
      <c r="U91" s="168"/>
      <c r="V91" s="168"/>
      <c r="W91" s="168"/>
      <c r="X91" s="168"/>
      <c r="Y91" s="154"/>
      <c r="Z91" s="286"/>
      <c r="AA91" s="287"/>
      <c r="AB91" s="170">
        <v>1</v>
      </c>
      <c r="AC91" s="171" t="s">
        <v>463</v>
      </c>
      <c r="AD91" s="170">
        <f>Q91*1.1</f>
        <v>1760.0000000000002</v>
      </c>
      <c r="AE91" s="170"/>
      <c r="AF91" s="170"/>
      <c r="AG91" s="170"/>
      <c r="AH91" s="170">
        <v>1</v>
      </c>
      <c r="AI91" s="171" t="s">
        <v>463</v>
      </c>
      <c r="AJ91" s="170">
        <f t="shared" si="8"/>
        <v>1232</v>
      </c>
      <c r="AK91" s="170"/>
      <c r="AL91" s="170"/>
      <c r="AM91" s="170"/>
      <c r="AN91" s="176" t="s">
        <v>318</v>
      </c>
    </row>
    <row r="92" spans="1:40" ht="56.25" customHeight="1" x14ac:dyDescent="0.3">
      <c r="A92" s="154"/>
      <c r="B92" s="166"/>
      <c r="C92" s="167"/>
      <c r="D92" s="167"/>
      <c r="E92" s="167"/>
      <c r="F92" s="167"/>
      <c r="G92" s="41"/>
      <c r="H92" s="41"/>
      <c r="I92" s="41"/>
      <c r="J92" s="41"/>
      <c r="K92" s="168"/>
      <c r="L92" s="168"/>
      <c r="M92" s="168"/>
      <c r="N92" s="168"/>
      <c r="O92" s="154">
        <v>2</v>
      </c>
      <c r="P92" s="166" t="s">
        <v>464</v>
      </c>
      <c r="Q92" s="167">
        <v>2500</v>
      </c>
      <c r="R92" s="167"/>
      <c r="S92" s="167"/>
      <c r="T92" s="167"/>
      <c r="U92" s="168"/>
      <c r="V92" s="168"/>
      <c r="W92" s="168"/>
      <c r="X92" s="168"/>
      <c r="Y92" s="154"/>
      <c r="Z92" s="286"/>
      <c r="AA92" s="287"/>
      <c r="AB92" s="170"/>
      <c r="AC92" s="175" t="s">
        <v>465</v>
      </c>
      <c r="AD92" s="170">
        <f>Q92*1.1</f>
        <v>2750</v>
      </c>
      <c r="AE92" s="170"/>
      <c r="AF92" s="170"/>
      <c r="AG92" s="170"/>
      <c r="AH92" s="170">
        <v>2</v>
      </c>
      <c r="AI92" s="175" t="s">
        <v>1069</v>
      </c>
      <c r="AJ92" s="170">
        <f t="shared" si="8"/>
        <v>1924.9999999999998</v>
      </c>
      <c r="AK92" s="170"/>
      <c r="AL92" s="170"/>
      <c r="AM92" s="170"/>
      <c r="AN92" s="176" t="s">
        <v>318</v>
      </c>
    </row>
    <row r="93" spans="1:40" ht="54.75" customHeight="1" x14ac:dyDescent="0.3">
      <c r="A93" s="154"/>
      <c r="B93" s="166"/>
      <c r="C93" s="167"/>
      <c r="D93" s="167"/>
      <c r="E93" s="167"/>
      <c r="F93" s="167"/>
      <c r="G93" s="41"/>
      <c r="H93" s="41"/>
      <c r="I93" s="41"/>
      <c r="J93" s="41"/>
      <c r="K93" s="168"/>
      <c r="L93" s="168"/>
      <c r="M93" s="168"/>
      <c r="N93" s="168"/>
      <c r="O93" s="154">
        <v>3</v>
      </c>
      <c r="P93" s="166" t="s">
        <v>466</v>
      </c>
      <c r="Q93" s="167">
        <v>1800</v>
      </c>
      <c r="R93" s="167"/>
      <c r="S93" s="167"/>
      <c r="T93" s="167"/>
      <c r="U93" s="168"/>
      <c r="V93" s="168"/>
      <c r="W93" s="168"/>
      <c r="X93" s="168"/>
      <c r="Y93" s="154"/>
      <c r="Z93" s="286"/>
      <c r="AA93" s="287"/>
      <c r="AB93" s="170"/>
      <c r="AC93" s="175" t="s">
        <v>467</v>
      </c>
      <c r="AD93" s="170">
        <f>Q93*1.1</f>
        <v>1980.0000000000002</v>
      </c>
      <c r="AE93" s="170"/>
      <c r="AF93" s="170"/>
      <c r="AG93" s="170"/>
      <c r="AH93" s="170">
        <v>3</v>
      </c>
      <c r="AI93" s="175" t="s">
        <v>1070</v>
      </c>
      <c r="AJ93" s="170">
        <f t="shared" si="8"/>
        <v>1386</v>
      </c>
      <c r="AK93" s="170"/>
      <c r="AL93" s="170"/>
      <c r="AM93" s="170"/>
      <c r="AN93" s="176" t="s">
        <v>318</v>
      </c>
    </row>
    <row r="94" spans="1:40" ht="45.75" customHeight="1" x14ac:dyDescent="0.3">
      <c r="A94" s="154"/>
      <c r="B94" s="166"/>
      <c r="C94" s="167"/>
      <c r="D94" s="167"/>
      <c r="E94" s="167"/>
      <c r="F94" s="167"/>
      <c r="G94" s="41"/>
      <c r="H94" s="41"/>
      <c r="I94" s="41"/>
      <c r="J94" s="41"/>
      <c r="K94" s="168"/>
      <c r="L94" s="168"/>
      <c r="M94" s="168"/>
      <c r="N94" s="168"/>
      <c r="O94" s="154">
        <v>4</v>
      </c>
      <c r="P94" s="166" t="s">
        <v>468</v>
      </c>
      <c r="Q94" s="167">
        <v>980</v>
      </c>
      <c r="R94" s="167"/>
      <c r="S94" s="167"/>
      <c r="T94" s="167"/>
      <c r="U94" s="168"/>
      <c r="V94" s="168"/>
      <c r="W94" s="168"/>
      <c r="X94" s="168"/>
      <c r="Y94" s="154"/>
      <c r="Z94" s="286"/>
      <c r="AA94" s="287"/>
      <c r="AB94" s="170"/>
      <c r="AC94" s="175" t="s">
        <v>469</v>
      </c>
      <c r="AD94" s="170">
        <f>Q94*1.1</f>
        <v>1078</v>
      </c>
      <c r="AE94" s="170"/>
      <c r="AF94" s="170"/>
      <c r="AG94" s="170"/>
      <c r="AH94" s="170">
        <v>4</v>
      </c>
      <c r="AI94" s="175" t="s">
        <v>469</v>
      </c>
      <c r="AJ94" s="170">
        <f t="shared" si="8"/>
        <v>754.59999999999991</v>
      </c>
      <c r="AK94" s="170"/>
      <c r="AL94" s="170"/>
      <c r="AM94" s="170"/>
      <c r="AN94" s="176" t="s">
        <v>318</v>
      </c>
    </row>
    <row r="95" spans="1:40" ht="30.75" customHeight="1" x14ac:dyDescent="0.3">
      <c r="A95" s="154"/>
      <c r="B95" s="166"/>
      <c r="C95" s="167"/>
      <c r="D95" s="167"/>
      <c r="E95" s="167"/>
      <c r="F95" s="167"/>
      <c r="G95" s="41"/>
      <c r="H95" s="41"/>
      <c r="I95" s="41"/>
      <c r="J95" s="41"/>
      <c r="K95" s="168"/>
      <c r="L95" s="168"/>
      <c r="M95" s="168"/>
      <c r="N95" s="168"/>
      <c r="O95" s="156" t="s">
        <v>14</v>
      </c>
      <c r="P95" s="94" t="s">
        <v>390</v>
      </c>
      <c r="Q95" s="167"/>
      <c r="R95" s="167"/>
      <c r="S95" s="167"/>
      <c r="T95" s="167"/>
      <c r="U95" s="168"/>
      <c r="V95" s="168"/>
      <c r="W95" s="168"/>
      <c r="X95" s="168"/>
      <c r="Y95" s="154"/>
      <c r="Z95" s="286"/>
      <c r="AA95" s="287"/>
      <c r="AB95" s="163" t="s">
        <v>14</v>
      </c>
      <c r="AC95" s="192" t="s">
        <v>390</v>
      </c>
      <c r="AD95" s="170"/>
      <c r="AE95" s="170"/>
      <c r="AF95" s="170"/>
      <c r="AG95" s="170"/>
      <c r="AH95" s="163" t="s">
        <v>14</v>
      </c>
      <c r="AI95" s="192" t="s">
        <v>390</v>
      </c>
      <c r="AJ95" s="170"/>
      <c r="AK95" s="170"/>
      <c r="AL95" s="170"/>
      <c r="AM95" s="170"/>
      <c r="AN95" s="176"/>
    </row>
    <row r="96" spans="1:40" ht="43.5" customHeight="1" x14ac:dyDescent="0.3">
      <c r="A96" s="154"/>
      <c r="B96" s="166"/>
      <c r="C96" s="167"/>
      <c r="D96" s="167"/>
      <c r="E96" s="167"/>
      <c r="F96" s="167"/>
      <c r="G96" s="41"/>
      <c r="H96" s="41"/>
      <c r="I96" s="41"/>
      <c r="J96" s="41"/>
      <c r="K96" s="168"/>
      <c r="L96" s="168"/>
      <c r="M96" s="168"/>
      <c r="N96" s="168"/>
      <c r="O96" s="154">
        <v>1</v>
      </c>
      <c r="P96" s="166" t="s">
        <v>470</v>
      </c>
      <c r="Q96" s="167">
        <v>952</v>
      </c>
      <c r="R96" s="167"/>
      <c r="S96" s="167"/>
      <c r="T96" s="167"/>
      <c r="U96" s="168"/>
      <c r="V96" s="168"/>
      <c r="W96" s="168"/>
      <c r="X96" s="168"/>
      <c r="Y96" s="154"/>
      <c r="Z96" s="286"/>
      <c r="AA96" s="287"/>
      <c r="AB96" s="170">
        <v>1</v>
      </c>
      <c r="AC96" s="171" t="s">
        <v>471</v>
      </c>
      <c r="AD96" s="170">
        <f>Q96*1.1</f>
        <v>1047.2</v>
      </c>
      <c r="AE96" s="170"/>
      <c r="AF96" s="170"/>
      <c r="AG96" s="170"/>
      <c r="AH96" s="170">
        <v>1</v>
      </c>
      <c r="AI96" s="171" t="s">
        <v>1071</v>
      </c>
      <c r="AJ96" s="170">
        <f t="shared" si="8"/>
        <v>733.04</v>
      </c>
      <c r="AK96" s="170"/>
      <c r="AL96" s="170"/>
      <c r="AM96" s="170"/>
      <c r="AN96" s="176" t="s">
        <v>318</v>
      </c>
    </row>
    <row r="97" spans="1:40" ht="86.25" customHeight="1" x14ac:dyDescent="0.3">
      <c r="A97" s="154"/>
      <c r="B97" s="166"/>
      <c r="C97" s="167"/>
      <c r="D97" s="167"/>
      <c r="E97" s="167"/>
      <c r="F97" s="167"/>
      <c r="G97" s="41"/>
      <c r="H97" s="41"/>
      <c r="I97" s="41"/>
      <c r="J97" s="41"/>
      <c r="K97" s="168"/>
      <c r="L97" s="168"/>
      <c r="M97" s="168"/>
      <c r="N97" s="168"/>
      <c r="O97" s="154">
        <v>2</v>
      </c>
      <c r="P97" s="166" t="s">
        <v>472</v>
      </c>
      <c r="Q97" s="167">
        <v>1000</v>
      </c>
      <c r="R97" s="167"/>
      <c r="S97" s="167"/>
      <c r="T97" s="167"/>
      <c r="U97" s="168"/>
      <c r="V97" s="168"/>
      <c r="W97" s="168"/>
      <c r="X97" s="168"/>
      <c r="Y97" s="154"/>
      <c r="Z97" s="286"/>
      <c r="AA97" s="287"/>
      <c r="AB97" s="170">
        <v>2</v>
      </c>
      <c r="AC97" s="171" t="s">
        <v>473</v>
      </c>
      <c r="AD97" s="170">
        <v>2297</v>
      </c>
      <c r="AE97" s="170"/>
      <c r="AF97" s="170"/>
      <c r="AG97" s="170"/>
      <c r="AH97" s="170">
        <v>2</v>
      </c>
      <c r="AI97" s="171" t="s">
        <v>1072</v>
      </c>
      <c r="AJ97" s="170">
        <f t="shared" si="8"/>
        <v>1607.8999999999999</v>
      </c>
      <c r="AK97" s="170"/>
      <c r="AL97" s="170"/>
      <c r="AM97" s="170"/>
      <c r="AN97" s="176" t="s">
        <v>474</v>
      </c>
    </row>
    <row r="98" spans="1:40" ht="56.25" customHeight="1" x14ac:dyDescent="0.3">
      <c r="A98" s="154"/>
      <c r="B98" s="166"/>
      <c r="C98" s="167"/>
      <c r="D98" s="167"/>
      <c r="E98" s="167"/>
      <c r="F98" s="167"/>
      <c r="G98" s="41"/>
      <c r="H98" s="41"/>
      <c r="I98" s="41"/>
      <c r="J98" s="41"/>
      <c r="K98" s="168"/>
      <c r="L98" s="168"/>
      <c r="M98" s="168"/>
      <c r="N98" s="168"/>
      <c r="O98" s="154">
        <v>3</v>
      </c>
      <c r="P98" s="166" t="s">
        <v>475</v>
      </c>
      <c r="Q98" s="167">
        <v>810</v>
      </c>
      <c r="R98" s="167"/>
      <c r="S98" s="167"/>
      <c r="T98" s="167"/>
      <c r="U98" s="168"/>
      <c r="V98" s="168"/>
      <c r="W98" s="168"/>
      <c r="X98" s="168"/>
      <c r="Y98" s="154"/>
      <c r="Z98" s="286"/>
      <c r="AA98" s="287"/>
      <c r="AB98" s="170">
        <v>3</v>
      </c>
      <c r="AC98" s="171" t="s">
        <v>476</v>
      </c>
      <c r="AD98" s="170">
        <f>Q98*1.1</f>
        <v>891.00000000000011</v>
      </c>
      <c r="AE98" s="170"/>
      <c r="AF98" s="170"/>
      <c r="AG98" s="170"/>
      <c r="AH98" s="170">
        <v>3</v>
      </c>
      <c r="AI98" s="171" t="s">
        <v>476</v>
      </c>
      <c r="AJ98" s="170">
        <f t="shared" si="8"/>
        <v>623.70000000000005</v>
      </c>
      <c r="AK98" s="170"/>
      <c r="AL98" s="170"/>
      <c r="AM98" s="170"/>
      <c r="AN98" s="176" t="s">
        <v>318</v>
      </c>
    </row>
    <row r="99" spans="1:40" ht="91.5" customHeight="1" x14ac:dyDescent="0.3">
      <c r="A99" s="154"/>
      <c r="B99" s="166"/>
      <c r="C99" s="167"/>
      <c r="D99" s="167"/>
      <c r="E99" s="167"/>
      <c r="F99" s="167"/>
      <c r="G99" s="41"/>
      <c r="H99" s="41"/>
      <c r="I99" s="41"/>
      <c r="J99" s="41"/>
      <c r="K99" s="168"/>
      <c r="L99" s="168"/>
      <c r="M99" s="168"/>
      <c r="N99" s="168"/>
      <c r="O99" s="154">
        <v>4</v>
      </c>
      <c r="P99" s="166" t="s">
        <v>477</v>
      </c>
      <c r="Q99" s="167">
        <v>810</v>
      </c>
      <c r="R99" s="167"/>
      <c r="S99" s="167"/>
      <c r="T99" s="167"/>
      <c r="U99" s="168"/>
      <c r="V99" s="168"/>
      <c r="W99" s="168"/>
      <c r="X99" s="168"/>
      <c r="Y99" s="154"/>
      <c r="Z99" s="286"/>
      <c r="AA99" s="287"/>
      <c r="AB99" s="170">
        <v>4</v>
      </c>
      <c r="AC99" s="171" t="s">
        <v>478</v>
      </c>
      <c r="AD99" s="170">
        <f>Q99*1.1</f>
        <v>891.00000000000011</v>
      </c>
      <c r="AE99" s="170"/>
      <c r="AF99" s="170"/>
      <c r="AG99" s="170"/>
      <c r="AH99" s="170">
        <v>4</v>
      </c>
      <c r="AI99" s="171" t="s">
        <v>478</v>
      </c>
      <c r="AJ99" s="170">
        <f t="shared" si="8"/>
        <v>623.70000000000005</v>
      </c>
      <c r="AK99" s="170"/>
      <c r="AL99" s="170"/>
      <c r="AM99" s="170"/>
      <c r="AN99" s="176" t="s">
        <v>318</v>
      </c>
    </row>
    <row r="100" spans="1:40" ht="51" customHeight="1" x14ac:dyDescent="0.3">
      <c r="A100" s="154"/>
      <c r="B100" s="166"/>
      <c r="C100" s="167"/>
      <c r="D100" s="167"/>
      <c r="E100" s="167"/>
      <c r="F100" s="167"/>
      <c r="G100" s="41"/>
      <c r="H100" s="41"/>
      <c r="I100" s="41"/>
      <c r="J100" s="41"/>
      <c r="K100" s="168"/>
      <c r="L100" s="168"/>
      <c r="M100" s="168"/>
      <c r="N100" s="168"/>
      <c r="O100" s="154">
        <v>5</v>
      </c>
      <c r="P100" s="166" t="s">
        <v>479</v>
      </c>
      <c r="Q100" s="167">
        <v>810</v>
      </c>
      <c r="R100" s="167"/>
      <c r="S100" s="167"/>
      <c r="T100" s="167"/>
      <c r="U100" s="168"/>
      <c r="V100" s="168"/>
      <c r="W100" s="168"/>
      <c r="X100" s="168"/>
      <c r="Y100" s="154"/>
      <c r="Z100" s="286"/>
      <c r="AA100" s="287"/>
      <c r="AB100" s="170">
        <v>5</v>
      </c>
      <c r="AC100" s="171" t="s">
        <v>480</v>
      </c>
      <c r="AD100" s="170">
        <f>Q100*1.1</f>
        <v>891.00000000000011</v>
      </c>
      <c r="AE100" s="170"/>
      <c r="AF100" s="170"/>
      <c r="AG100" s="170"/>
      <c r="AH100" s="170">
        <v>5</v>
      </c>
      <c r="AI100" s="171" t="s">
        <v>1073</v>
      </c>
      <c r="AJ100" s="170">
        <f t="shared" si="8"/>
        <v>623.70000000000005</v>
      </c>
      <c r="AK100" s="170"/>
      <c r="AL100" s="170"/>
      <c r="AM100" s="170"/>
      <c r="AN100" s="176" t="s">
        <v>318</v>
      </c>
    </row>
    <row r="101" spans="1:40" ht="89.25" customHeight="1" x14ac:dyDescent="0.3">
      <c r="A101" s="154"/>
      <c r="B101" s="166"/>
      <c r="C101" s="167"/>
      <c r="D101" s="167"/>
      <c r="E101" s="167"/>
      <c r="F101" s="167"/>
      <c r="G101" s="41"/>
      <c r="H101" s="41"/>
      <c r="I101" s="41"/>
      <c r="J101" s="41"/>
      <c r="K101" s="168"/>
      <c r="L101" s="168"/>
      <c r="M101" s="168"/>
      <c r="N101" s="168"/>
      <c r="O101" s="154">
        <v>6</v>
      </c>
      <c r="P101" s="166" t="s">
        <v>481</v>
      </c>
      <c r="Q101" s="167">
        <v>810</v>
      </c>
      <c r="R101" s="167"/>
      <c r="S101" s="167"/>
      <c r="T101" s="167"/>
      <c r="U101" s="168"/>
      <c r="V101" s="168"/>
      <c r="W101" s="168"/>
      <c r="X101" s="168"/>
      <c r="Y101" s="154"/>
      <c r="Z101" s="286"/>
      <c r="AA101" s="287"/>
      <c r="AB101" s="170">
        <v>6</v>
      </c>
      <c r="AC101" s="171" t="s">
        <v>482</v>
      </c>
      <c r="AD101" s="170">
        <v>1948</v>
      </c>
      <c r="AE101" s="170"/>
      <c r="AF101" s="170"/>
      <c r="AG101" s="170"/>
      <c r="AH101" s="170">
        <v>6</v>
      </c>
      <c r="AI101" s="171" t="s">
        <v>1074</v>
      </c>
      <c r="AJ101" s="170">
        <f t="shared" si="8"/>
        <v>1363.6</v>
      </c>
      <c r="AK101" s="170"/>
      <c r="AL101" s="170"/>
      <c r="AM101" s="170"/>
      <c r="AN101" s="176" t="s">
        <v>483</v>
      </c>
    </row>
    <row r="102" spans="1:40" ht="52.5" customHeight="1" x14ac:dyDescent="0.3">
      <c r="A102" s="154"/>
      <c r="B102" s="166"/>
      <c r="C102" s="167"/>
      <c r="D102" s="167"/>
      <c r="E102" s="167"/>
      <c r="F102" s="167"/>
      <c r="G102" s="41"/>
      <c r="H102" s="41"/>
      <c r="I102" s="41"/>
      <c r="J102" s="41"/>
      <c r="K102" s="168"/>
      <c r="L102" s="168"/>
      <c r="M102" s="168"/>
      <c r="N102" s="168"/>
      <c r="O102" s="154">
        <v>7</v>
      </c>
      <c r="P102" s="166" t="s">
        <v>484</v>
      </c>
      <c r="Q102" s="167">
        <v>810</v>
      </c>
      <c r="R102" s="167"/>
      <c r="S102" s="167"/>
      <c r="T102" s="167"/>
      <c r="U102" s="168"/>
      <c r="V102" s="168"/>
      <c r="W102" s="168"/>
      <c r="X102" s="168"/>
      <c r="Y102" s="154"/>
      <c r="Z102" s="286"/>
      <c r="AA102" s="287"/>
      <c r="AB102" s="170">
        <v>7</v>
      </c>
      <c r="AC102" s="171" t="s">
        <v>485</v>
      </c>
      <c r="AD102" s="170">
        <f t="shared" ref="AD102:AD113" si="9">Q102*1.1</f>
        <v>891.00000000000011</v>
      </c>
      <c r="AE102" s="170"/>
      <c r="AF102" s="170"/>
      <c r="AG102" s="170"/>
      <c r="AH102" s="170">
        <v>7</v>
      </c>
      <c r="AI102" s="171" t="s">
        <v>485</v>
      </c>
      <c r="AJ102" s="170">
        <f t="shared" si="8"/>
        <v>623.70000000000005</v>
      </c>
      <c r="AK102" s="170"/>
      <c r="AL102" s="170"/>
      <c r="AM102" s="170"/>
      <c r="AN102" s="176" t="s">
        <v>318</v>
      </c>
    </row>
    <row r="103" spans="1:40" ht="40.5" customHeight="1" x14ac:dyDescent="0.3">
      <c r="A103" s="154"/>
      <c r="B103" s="166"/>
      <c r="C103" s="167"/>
      <c r="D103" s="167"/>
      <c r="E103" s="167"/>
      <c r="F103" s="167"/>
      <c r="G103" s="41"/>
      <c r="H103" s="41"/>
      <c r="I103" s="41"/>
      <c r="J103" s="41"/>
      <c r="K103" s="168"/>
      <c r="L103" s="168"/>
      <c r="M103" s="168"/>
      <c r="N103" s="168"/>
      <c r="O103" s="154">
        <v>8</v>
      </c>
      <c r="P103" s="166" t="s">
        <v>486</v>
      </c>
      <c r="Q103" s="167">
        <v>810</v>
      </c>
      <c r="R103" s="167"/>
      <c r="S103" s="167"/>
      <c r="T103" s="167"/>
      <c r="U103" s="168"/>
      <c r="V103" s="168"/>
      <c r="W103" s="168"/>
      <c r="X103" s="168"/>
      <c r="Y103" s="154"/>
      <c r="Z103" s="286"/>
      <c r="AA103" s="287"/>
      <c r="AB103" s="170">
        <v>8</v>
      </c>
      <c r="AC103" s="171" t="s">
        <v>487</v>
      </c>
      <c r="AD103" s="170">
        <f t="shared" si="9"/>
        <v>891.00000000000011</v>
      </c>
      <c r="AE103" s="170"/>
      <c r="AF103" s="170"/>
      <c r="AG103" s="170"/>
      <c r="AH103" s="170">
        <v>8</v>
      </c>
      <c r="AI103" s="171" t="s">
        <v>1075</v>
      </c>
      <c r="AJ103" s="170">
        <f t="shared" si="8"/>
        <v>623.70000000000005</v>
      </c>
      <c r="AK103" s="170"/>
      <c r="AL103" s="170"/>
      <c r="AM103" s="170"/>
      <c r="AN103" s="176" t="s">
        <v>318</v>
      </c>
    </row>
    <row r="104" spans="1:40" ht="51" customHeight="1" x14ac:dyDescent="0.3">
      <c r="A104" s="154"/>
      <c r="B104" s="166"/>
      <c r="C104" s="167"/>
      <c r="D104" s="167"/>
      <c r="E104" s="167"/>
      <c r="F104" s="167"/>
      <c r="G104" s="41"/>
      <c r="H104" s="41"/>
      <c r="I104" s="41"/>
      <c r="J104" s="41"/>
      <c r="K104" s="168"/>
      <c r="L104" s="168"/>
      <c r="M104" s="168"/>
      <c r="N104" s="168"/>
      <c r="O104" s="154">
        <v>9</v>
      </c>
      <c r="P104" s="166" t="s">
        <v>488</v>
      </c>
      <c r="Q104" s="167">
        <v>810</v>
      </c>
      <c r="R104" s="167"/>
      <c r="S104" s="167"/>
      <c r="T104" s="167"/>
      <c r="U104" s="168"/>
      <c r="V104" s="168"/>
      <c r="W104" s="168"/>
      <c r="X104" s="168"/>
      <c r="Y104" s="154"/>
      <c r="Z104" s="286"/>
      <c r="AA104" s="287"/>
      <c r="AB104" s="170">
        <v>9</v>
      </c>
      <c r="AC104" s="171" t="s">
        <v>489</v>
      </c>
      <c r="AD104" s="170">
        <f t="shared" si="9"/>
        <v>891.00000000000011</v>
      </c>
      <c r="AE104" s="170"/>
      <c r="AF104" s="170"/>
      <c r="AG104" s="170"/>
      <c r="AH104" s="170">
        <v>9</v>
      </c>
      <c r="AI104" s="171" t="s">
        <v>489</v>
      </c>
      <c r="AJ104" s="170">
        <f t="shared" si="8"/>
        <v>623.70000000000005</v>
      </c>
      <c r="AK104" s="170"/>
      <c r="AL104" s="170"/>
      <c r="AM104" s="170"/>
      <c r="AN104" s="176" t="s">
        <v>318</v>
      </c>
    </row>
    <row r="105" spans="1:40" ht="38.25" customHeight="1" x14ac:dyDescent="0.3">
      <c r="A105" s="154"/>
      <c r="B105" s="166"/>
      <c r="C105" s="167"/>
      <c r="D105" s="167"/>
      <c r="E105" s="167"/>
      <c r="F105" s="167"/>
      <c r="G105" s="41"/>
      <c r="H105" s="41"/>
      <c r="I105" s="41"/>
      <c r="J105" s="41"/>
      <c r="K105" s="168"/>
      <c r="L105" s="168"/>
      <c r="M105" s="168"/>
      <c r="N105" s="168"/>
      <c r="O105" s="154">
        <v>10</v>
      </c>
      <c r="P105" s="166" t="s">
        <v>490</v>
      </c>
      <c r="Q105" s="167">
        <v>810</v>
      </c>
      <c r="R105" s="167"/>
      <c r="S105" s="167"/>
      <c r="T105" s="167"/>
      <c r="U105" s="168"/>
      <c r="V105" s="168"/>
      <c r="W105" s="168"/>
      <c r="X105" s="168"/>
      <c r="Y105" s="154"/>
      <c r="Z105" s="286"/>
      <c r="AA105" s="287"/>
      <c r="AB105" s="170">
        <v>10</v>
      </c>
      <c r="AC105" s="171" t="s">
        <v>491</v>
      </c>
      <c r="AD105" s="170">
        <f t="shared" si="9"/>
        <v>891.00000000000011</v>
      </c>
      <c r="AE105" s="170"/>
      <c r="AF105" s="170"/>
      <c r="AG105" s="170"/>
      <c r="AH105" s="170">
        <v>10</v>
      </c>
      <c r="AI105" s="171" t="s">
        <v>491</v>
      </c>
      <c r="AJ105" s="170">
        <f t="shared" si="8"/>
        <v>623.70000000000005</v>
      </c>
      <c r="AK105" s="170"/>
      <c r="AL105" s="170"/>
      <c r="AM105" s="170"/>
      <c r="AN105" s="176" t="s">
        <v>318</v>
      </c>
    </row>
    <row r="106" spans="1:40" ht="51" customHeight="1" x14ac:dyDescent="0.3">
      <c r="A106" s="154"/>
      <c r="B106" s="166"/>
      <c r="C106" s="167"/>
      <c r="D106" s="167"/>
      <c r="E106" s="167"/>
      <c r="F106" s="167"/>
      <c r="G106" s="41"/>
      <c r="H106" s="41"/>
      <c r="I106" s="41"/>
      <c r="J106" s="41"/>
      <c r="K106" s="168"/>
      <c r="L106" s="168"/>
      <c r="M106" s="168"/>
      <c r="N106" s="168"/>
      <c r="O106" s="154">
        <v>11</v>
      </c>
      <c r="P106" s="166" t="s">
        <v>492</v>
      </c>
      <c r="Q106" s="167">
        <v>560</v>
      </c>
      <c r="R106" s="167"/>
      <c r="S106" s="167"/>
      <c r="T106" s="167"/>
      <c r="U106" s="168"/>
      <c r="V106" s="168"/>
      <c r="W106" s="168"/>
      <c r="X106" s="168"/>
      <c r="Y106" s="154"/>
      <c r="Z106" s="286"/>
      <c r="AA106" s="287"/>
      <c r="AB106" s="170">
        <v>11</v>
      </c>
      <c r="AC106" s="171" t="s">
        <v>493</v>
      </c>
      <c r="AD106" s="170">
        <f t="shared" si="9"/>
        <v>616</v>
      </c>
      <c r="AE106" s="170"/>
      <c r="AF106" s="170"/>
      <c r="AG106" s="170"/>
      <c r="AH106" s="170">
        <v>11</v>
      </c>
      <c r="AI106" s="171" t="s">
        <v>1076</v>
      </c>
      <c r="AJ106" s="170">
        <f t="shared" si="8"/>
        <v>431.2</v>
      </c>
      <c r="AK106" s="170"/>
      <c r="AL106" s="170"/>
      <c r="AM106" s="170"/>
      <c r="AN106" s="176" t="s">
        <v>318</v>
      </c>
    </row>
    <row r="107" spans="1:40" ht="74.25" customHeight="1" x14ac:dyDescent="0.3">
      <c r="A107" s="154"/>
      <c r="B107" s="166"/>
      <c r="C107" s="167"/>
      <c r="D107" s="167"/>
      <c r="E107" s="167"/>
      <c r="F107" s="167"/>
      <c r="G107" s="41"/>
      <c r="H107" s="41"/>
      <c r="I107" s="41"/>
      <c r="J107" s="41"/>
      <c r="K107" s="168"/>
      <c r="L107" s="168"/>
      <c r="M107" s="168"/>
      <c r="N107" s="168"/>
      <c r="O107" s="154">
        <v>12</v>
      </c>
      <c r="P107" s="166" t="s">
        <v>494</v>
      </c>
      <c r="Q107" s="167">
        <v>560</v>
      </c>
      <c r="R107" s="167"/>
      <c r="S107" s="167"/>
      <c r="T107" s="167"/>
      <c r="U107" s="168"/>
      <c r="V107" s="168"/>
      <c r="W107" s="168"/>
      <c r="X107" s="168"/>
      <c r="Y107" s="154"/>
      <c r="Z107" s="286"/>
      <c r="AA107" s="287"/>
      <c r="AB107" s="170">
        <v>12</v>
      </c>
      <c r="AC107" s="171" t="s">
        <v>495</v>
      </c>
      <c r="AD107" s="170">
        <f t="shared" si="9"/>
        <v>616</v>
      </c>
      <c r="AE107" s="170"/>
      <c r="AF107" s="170"/>
      <c r="AG107" s="170"/>
      <c r="AH107" s="170">
        <v>12</v>
      </c>
      <c r="AI107" s="171" t="s">
        <v>1077</v>
      </c>
      <c r="AJ107" s="170">
        <f t="shared" si="8"/>
        <v>431.2</v>
      </c>
      <c r="AK107" s="170"/>
      <c r="AL107" s="170"/>
      <c r="AM107" s="170"/>
      <c r="AN107" s="176" t="s">
        <v>318</v>
      </c>
    </row>
    <row r="108" spans="1:40" ht="57" customHeight="1" x14ac:dyDescent="0.3">
      <c r="A108" s="154"/>
      <c r="B108" s="166"/>
      <c r="C108" s="167"/>
      <c r="D108" s="167"/>
      <c r="E108" s="167"/>
      <c r="F108" s="167"/>
      <c r="G108" s="41"/>
      <c r="H108" s="41"/>
      <c r="I108" s="41"/>
      <c r="J108" s="41"/>
      <c r="K108" s="168"/>
      <c r="L108" s="168"/>
      <c r="M108" s="168"/>
      <c r="N108" s="168"/>
      <c r="O108" s="154">
        <v>13</v>
      </c>
      <c r="P108" s="166" t="s">
        <v>496</v>
      </c>
      <c r="Q108" s="167">
        <v>630</v>
      </c>
      <c r="R108" s="167"/>
      <c r="S108" s="167"/>
      <c r="T108" s="167"/>
      <c r="U108" s="168"/>
      <c r="V108" s="168"/>
      <c r="W108" s="168"/>
      <c r="X108" s="168"/>
      <c r="Y108" s="154"/>
      <c r="Z108" s="286"/>
      <c r="AA108" s="287"/>
      <c r="AB108" s="170">
        <v>13</v>
      </c>
      <c r="AC108" s="171" t="s">
        <v>497</v>
      </c>
      <c r="AD108" s="170">
        <f t="shared" si="9"/>
        <v>693</v>
      </c>
      <c r="AE108" s="170"/>
      <c r="AF108" s="170"/>
      <c r="AG108" s="170"/>
      <c r="AH108" s="170">
        <v>13</v>
      </c>
      <c r="AI108" s="171" t="s">
        <v>1078</v>
      </c>
      <c r="AJ108" s="170">
        <f t="shared" si="8"/>
        <v>485.09999999999997</v>
      </c>
      <c r="AK108" s="170"/>
      <c r="AL108" s="170"/>
      <c r="AM108" s="170"/>
      <c r="AN108" s="176" t="s">
        <v>318</v>
      </c>
    </row>
    <row r="109" spans="1:40" ht="51" customHeight="1" x14ac:dyDescent="0.3">
      <c r="A109" s="154"/>
      <c r="B109" s="166"/>
      <c r="C109" s="167"/>
      <c r="D109" s="167"/>
      <c r="E109" s="167"/>
      <c r="F109" s="167"/>
      <c r="G109" s="41"/>
      <c r="H109" s="41"/>
      <c r="I109" s="41"/>
      <c r="J109" s="41"/>
      <c r="K109" s="168"/>
      <c r="L109" s="168"/>
      <c r="M109" s="168"/>
      <c r="N109" s="168"/>
      <c r="O109" s="154">
        <v>14</v>
      </c>
      <c r="P109" s="166" t="s">
        <v>498</v>
      </c>
      <c r="Q109" s="167">
        <v>630</v>
      </c>
      <c r="R109" s="167"/>
      <c r="S109" s="167"/>
      <c r="T109" s="167"/>
      <c r="U109" s="168"/>
      <c r="V109" s="168"/>
      <c r="W109" s="168"/>
      <c r="X109" s="168"/>
      <c r="Y109" s="154"/>
      <c r="Z109" s="286"/>
      <c r="AA109" s="287"/>
      <c r="AB109" s="170">
        <v>14</v>
      </c>
      <c r="AC109" s="171" t="s">
        <v>498</v>
      </c>
      <c r="AD109" s="170">
        <f t="shared" si="9"/>
        <v>693</v>
      </c>
      <c r="AE109" s="170"/>
      <c r="AF109" s="170"/>
      <c r="AG109" s="170"/>
      <c r="AH109" s="170">
        <v>14</v>
      </c>
      <c r="AI109" s="171" t="s">
        <v>1079</v>
      </c>
      <c r="AJ109" s="170">
        <f t="shared" si="8"/>
        <v>485.09999999999997</v>
      </c>
      <c r="AK109" s="170"/>
      <c r="AL109" s="170"/>
      <c r="AM109" s="170"/>
      <c r="AN109" s="176" t="s">
        <v>318</v>
      </c>
    </row>
    <row r="110" spans="1:40" ht="51" customHeight="1" x14ac:dyDescent="0.3">
      <c r="A110" s="154"/>
      <c r="B110" s="166"/>
      <c r="C110" s="167"/>
      <c r="D110" s="167"/>
      <c r="E110" s="167"/>
      <c r="F110" s="167"/>
      <c r="G110" s="41"/>
      <c r="H110" s="41"/>
      <c r="I110" s="41"/>
      <c r="J110" s="41"/>
      <c r="K110" s="168"/>
      <c r="L110" s="168"/>
      <c r="M110" s="168"/>
      <c r="N110" s="168"/>
      <c r="O110" s="154">
        <v>15</v>
      </c>
      <c r="P110" s="166" t="s">
        <v>499</v>
      </c>
      <c r="Q110" s="167">
        <v>600</v>
      </c>
      <c r="R110" s="167"/>
      <c r="S110" s="167"/>
      <c r="T110" s="167"/>
      <c r="U110" s="168"/>
      <c r="V110" s="168"/>
      <c r="W110" s="168"/>
      <c r="X110" s="168"/>
      <c r="Y110" s="154"/>
      <c r="Z110" s="286"/>
      <c r="AA110" s="287"/>
      <c r="AB110" s="170">
        <v>15</v>
      </c>
      <c r="AC110" s="171" t="s">
        <v>500</v>
      </c>
      <c r="AD110" s="170">
        <f t="shared" si="9"/>
        <v>660</v>
      </c>
      <c r="AE110" s="170"/>
      <c r="AF110" s="170"/>
      <c r="AG110" s="170"/>
      <c r="AH110" s="170">
        <v>15</v>
      </c>
      <c r="AI110" s="171" t="s">
        <v>1080</v>
      </c>
      <c r="AJ110" s="170">
        <f t="shared" si="8"/>
        <v>461.99999999999994</v>
      </c>
      <c r="AK110" s="170"/>
      <c r="AL110" s="170"/>
      <c r="AM110" s="170"/>
      <c r="AN110" s="176" t="s">
        <v>318</v>
      </c>
    </row>
    <row r="111" spans="1:40" ht="70.5" customHeight="1" x14ac:dyDescent="0.3">
      <c r="A111" s="154"/>
      <c r="B111" s="166"/>
      <c r="C111" s="167"/>
      <c r="D111" s="167"/>
      <c r="E111" s="167"/>
      <c r="F111" s="167"/>
      <c r="G111" s="41"/>
      <c r="H111" s="41"/>
      <c r="I111" s="41"/>
      <c r="J111" s="41"/>
      <c r="K111" s="168"/>
      <c r="L111" s="168"/>
      <c r="M111" s="168"/>
      <c r="N111" s="168"/>
      <c r="O111" s="154">
        <v>16</v>
      </c>
      <c r="P111" s="166" t="s">
        <v>501</v>
      </c>
      <c r="Q111" s="167">
        <v>560</v>
      </c>
      <c r="R111" s="167"/>
      <c r="S111" s="167"/>
      <c r="T111" s="167"/>
      <c r="U111" s="168"/>
      <c r="V111" s="168"/>
      <c r="W111" s="168"/>
      <c r="X111" s="168"/>
      <c r="Y111" s="154"/>
      <c r="Z111" s="286"/>
      <c r="AA111" s="287"/>
      <c r="AB111" s="170">
        <v>16</v>
      </c>
      <c r="AC111" s="171" t="s">
        <v>502</v>
      </c>
      <c r="AD111" s="170">
        <f t="shared" si="9"/>
        <v>616</v>
      </c>
      <c r="AE111" s="170"/>
      <c r="AF111" s="170"/>
      <c r="AG111" s="170"/>
      <c r="AH111" s="170">
        <v>16</v>
      </c>
      <c r="AI111" s="171" t="s">
        <v>1081</v>
      </c>
      <c r="AJ111" s="170">
        <f t="shared" si="8"/>
        <v>431.2</v>
      </c>
      <c r="AK111" s="170"/>
      <c r="AL111" s="170"/>
      <c r="AM111" s="170"/>
      <c r="AN111" s="176" t="s">
        <v>318</v>
      </c>
    </row>
    <row r="112" spans="1:40" ht="57" customHeight="1" x14ac:dyDescent="0.3">
      <c r="A112" s="154"/>
      <c r="B112" s="166"/>
      <c r="C112" s="167"/>
      <c r="D112" s="167"/>
      <c r="E112" s="167"/>
      <c r="F112" s="167"/>
      <c r="G112" s="41"/>
      <c r="H112" s="41"/>
      <c r="I112" s="41"/>
      <c r="J112" s="41"/>
      <c r="K112" s="168"/>
      <c r="L112" s="168"/>
      <c r="M112" s="168"/>
      <c r="N112" s="168"/>
      <c r="O112" s="154">
        <v>17</v>
      </c>
      <c r="P112" s="166" t="s">
        <v>503</v>
      </c>
      <c r="Q112" s="167">
        <v>810</v>
      </c>
      <c r="R112" s="167"/>
      <c r="S112" s="167"/>
      <c r="T112" s="167"/>
      <c r="U112" s="168"/>
      <c r="V112" s="168"/>
      <c r="W112" s="168"/>
      <c r="X112" s="168"/>
      <c r="Y112" s="154"/>
      <c r="Z112" s="286"/>
      <c r="AA112" s="287"/>
      <c r="AB112" s="170">
        <v>17</v>
      </c>
      <c r="AC112" s="171" t="s">
        <v>504</v>
      </c>
      <c r="AD112" s="170">
        <f t="shared" si="9"/>
        <v>891.00000000000011</v>
      </c>
      <c r="AE112" s="170"/>
      <c r="AF112" s="170"/>
      <c r="AG112" s="170"/>
      <c r="AH112" s="170">
        <v>17</v>
      </c>
      <c r="AI112" s="171" t="s">
        <v>504</v>
      </c>
      <c r="AJ112" s="170">
        <f t="shared" si="8"/>
        <v>623.70000000000005</v>
      </c>
      <c r="AK112" s="170"/>
      <c r="AL112" s="170"/>
      <c r="AM112" s="170"/>
      <c r="AN112" s="176" t="s">
        <v>318</v>
      </c>
    </row>
    <row r="113" spans="1:40" ht="69.75" customHeight="1" x14ac:dyDescent="0.3">
      <c r="A113" s="154"/>
      <c r="B113" s="166"/>
      <c r="C113" s="167"/>
      <c r="D113" s="167"/>
      <c r="E113" s="167"/>
      <c r="F113" s="167"/>
      <c r="G113" s="41"/>
      <c r="H113" s="41"/>
      <c r="I113" s="41"/>
      <c r="J113" s="41"/>
      <c r="K113" s="168"/>
      <c r="L113" s="168"/>
      <c r="M113" s="168"/>
      <c r="N113" s="168"/>
      <c r="O113" s="154">
        <v>18</v>
      </c>
      <c r="P113" s="166" t="s">
        <v>505</v>
      </c>
      <c r="Q113" s="167">
        <v>770</v>
      </c>
      <c r="R113" s="167"/>
      <c r="S113" s="167"/>
      <c r="T113" s="167"/>
      <c r="U113" s="168"/>
      <c r="V113" s="168"/>
      <c r="W113" s="168"/>
      <c r="X113" s="168"/>
      <c r="Y113" s="154"/>
      <c r="Z113" s="286"/>
      <c r="AA113" s="287"/>
      <c r="AB113" s="170">
        <v>18</v>
      </c>
      <c r="AC113" s="171" t="s">
        <v>506</v>
      </c>
      <c r="AD113" s="170">
        <f t="shared" si="9"/>
        <v>847.00000000000011</v>
      </c>
      <c r="AE113" s="170"/>
      <c r="AF113" s="170"/>
      <c r="AG113" s="170"/>
      <c r="AH113" s="170">
        <v>18</v>
      </c>
      <c r="AI113" s="171" t="s">
        <v>1082</v>
      </c>
      <c r="AJ113" s="170">
        <f t="shared" si="8"/>
        <v>592.90000000000009</v>
      </c>
      <c r="AK113" s="170"/>
      <c r="AL113" s="170"/>
      <c r="AM113" s="170"/>
      <c r="AN113" s="176" t="s">
        <v>318</v>
      </c>
    </row>
    <row r="114" spans="1:40" ht="30.75" customHeight="1" x14ac:dyDescent="0.3">
      <c r="A114" s="154"/>
      <c r="B114" s="166"/>
      <c r="C114" s="167"/>
      <c r="D114" s="167"/>
      <c r="E114" s="167"/>
      <c r="F114" s="167"/>
      <c r="G114" s="41"/>
      <c r="H114" s="41"/>
      <c r="I114" s="41"/>
      <c r="J114" s="41"/>
      <c r="K114" s="168"/>
      <c r="L114" s="168"/>
      <c r="M114" s="168"/>
      <c r="N114" s="168"/>
      <c r="O114" s="156" t="s">
        <v>17</v>
      </c>
      <c r="P114" s="94" t="s">
        <v>507</v>
      </c>
      <c r="Q114" s="167"/>
      <c r="R114" s="167"/>
      <c r="S114" s="167"/>
      <c r="T114" s="167"/>
      <c r="U114" s="168"/>
      <c r="V114" s="168"/>
      <c r="W114" s="168"/>
      <c r="X114" s="168"/>
      <c r="Y114" s="154"/>
      <c r="Z114" s="286"/>
      <c r="AA114" s="287"/>
      <c r="AB114" s="163" t="s">
        <v>17</v>
      </c>
      <c r="AC114" s="192" t="s">
        <v>507</v>
      </c>
      <c r="AD114" s="170"/>
      <c r="AE114" s="170"/>
      <c r="AF114" s="170"/>
      <c r="AG114" s="170"/>
      <c r="AH114" s="163" t="s">
        <v>17</v>
      </c>
      <c r="AI114" s="192" t="s">
        <v>507</v>
      </c>
      <c r="AJ114" s="170"/>
      <c r="AK114" s="170"/>
      <c r="AL114" s="170"/>
      <c r="AM114" s="170"/>
      <c r="AN114" s="176"/>
    </row>
    <row r="115" spans="1:40" ht="30.75" customHeight="1" x14ac:dyDescent="0.3">
      <c r="A115" s="154"/>
      <c r="B115" s="166"/>
      <c r="C115" s="167"/>
      <c r="D115" s="167"/>
      <c r="E115" s="167"/>
      <c r="F115" s="167"/>
      <c r="G115" s="41"/>
      <c r="H115" s="41"/>
      <c r="I115" s="41"/>
      <c r="J115" s="41"/>
      <c r="K115" s="168"/>
      <c r="L115" s="168"/>
      <c r="M115" s="168"/>
      <c r="N115" s="168"/>
      <c r="O115" s="154">
        <v>1</v>
      </c>
      <c r="P115" s="181" t="s">
        <v>508</v>
      </c>
      <c r="Q115" s="167"/>
      <c r="R115" s="167"/>
      <c r="S115" s="167"/>
      <c r="T115" s="167"/>
      <c r="U115" s="168"/>
      <c r="V115" s="168"/>
      <c r="W115" s="168"/>
      <c r="X115" s="168"/>
      <c r="Y115" s="154"/>
      <c r="Z115" s="286"/>
      <c r="AA115" s="287"/>
      <c r="AB115" s="170">
        <v>1</v>
      </c>
      <c r="AC115" s="183" t="s">
        <v>418</v>
      </c>
      <c r="AD115" s="170"/>
      <c r="AE115" s="170"/>
      <c r="AF115" s="170"/>
      <c r="AG115" s="170"/>
      <c r="AH115" s="170">
        <v>1</v>
      </c>
      <c r="AI115" s="183" t="s">
        <v>418</v>
      </c>
      <c r="AJ115" s="170"/>
      <c r="AK115" s="170"/>
      <c r="AL115" s="170"/>
      <c r="AM115" s="170"/>
      <c r="AN115" s="176"/>
    </row>
    <row r="116" spans="1:40" ht="61.5" customHeight="1" x14ac:dyDescent="0.3">
      <c r="A116" s="154"/>
      <c r="B116" s="166"/>
      <c r="C116" s="167"/>
      <c r="D116" s="167"/>
      <c r="E116" s="167"/>
      <c r="F116" s="167"/>
      <c r="G116" s="41"/>
      <c r="H116" s="41"/>
      <c r="I116" s="41"/>
      <c r="J116" s="41"/>
      <c r="K116" s="168"/>
      <c r="L116" s="168"/>
      <c r="M116" s="168"/>
      <c r="N116" s="168"/>
      <c r="O116" s="154">
        <v>1.1000000000000001</v>
      </c>
      <c r="P116" s="166" t="s">
        <v>509</v>
      </c>
      <c r="Q116" s="167">
        <v>810</v>
      </c>
      <c r="R116" s="167"/>
      <c r="S116" s="167"/>
      <c r="T116" s="167"/>
      <c r="U116" s="168"/>
      <c r="V116" s="168"/>
      <c r="W116" s="168"/>
      <c r="X116" s="168"/>
      <c r="Y116" s="154"/>
      <c r="Z116" s="286"/>
      <c r="AA116" s="287"/>
      <c r="AB116" s="170">
        <v>1.1000000000000001</v>
      </c>
      <c r="AC116" s="171" t="s">
        <v>510</v>
      </c>
      <c r="AD116" s="170">
        <f t="shared" ref="AD116:AD124" si="10">Q116*1.1</f>
        <v>891.00000000000011</v>
      </c>
      <c r="AE116" s="170"/>
      <c r="AF116" s="170"/>
      <c r="AG116" s="170"/>
      <c r="AH116" s="170">
        <v>1.1000000000000001</v>
      </c>
      <c r="AI116" s="171" t="s">
        <v>510</v>
      </c>
      <c r="AJ116" s="170">
        <f t="shared" si="8"/>
        <v>623.70000000000005</v>
      </c>
      <c r="AK116" s="170"/>
      <c r="AL116" s="170"/>
      <c r="AM116" s="170"/>
      <c r="AN116" s="176" t="s">
        <v>318</v>
      </c>
    </row>
    <row r="117" spans="1:40" ht="42.75" customHeight="1" x14ac:dyDescent="0.3">
      <c r="A117" s="154"/>
      <c r="B117" s="166"/>
      <c r="C117" s="167"/>
      <c r="D117" s="167"/>
      <c r="E117" s="167"/>
      <c r="F117" s="167"/>
      <c r="G117" s="41"/>
      <c r="H117" s="41"/>
      <c r="I117" s="41"/>
      <c r="J117" s="41"/>
      <c r="K117" s="168"/>
      <c r="L117" s="168"/>
      <c r="M117" s="168"/>
      <c r="N117" s="168"/>
      <c r="O117" s="154">
        <v>1.2</v>
      </c>
      <c r="P117" s="166" t="s">
        <v>511</v>
      </c>
      <c r="Q117" s="167">
        <v>730</v>
      </c>
      <c r="R117" s="167"/>
      <c r="S117" s="167"/>
      <c r="T117" s="167"/>
      <c r="U117" s="168"/>
      <c r="V117" s="168"/>
      <c r="W117" s="168"/>
      <c r="X117" s="168"/>
      <c r="Y117" s="154"/>
      <c r="Z117" s="286"/>
      <c r="AA117" s="287"/>
      <c r="AB117" s="170">
        <v>1.2</v>
      </c>
      <c r="AC117" s="171" t="s">
        <v>512</v>
      </c>
      <c r="AD117" s="170">
        <f t="shared" si="10"/>
        <v>803.00000000000011</v>
      </c>
      <c r="AE117" s="170"/>
      <c r="AF117" s="170"/>
      <c r="AG117" s="170"/>
      <c r="AH117" s="170">
        <v>1.2</v>
      </c>
      <c r="AI117" s="171" t="s">
        <v>512</v>
      </c>
      <c r="AJ117" s="170">
        <f t="shared" si="8"/>
        <v>562.1</v>
      </c>
      <c r="AK117" s="170"/>
      <c r="AL117" s="170"/>
      <c r="AM117" s="170"/>
      <c r="AN117" s="176" t="s">
        <v>318</v>
      </c>
    </row>
    <row r="118" spans="1:40" ht="60" customHeight="1" x14ac:dyDescent="0.3">
      <c r="A118" s="154"/>
      <c r="B118" s="166"/>
      <c r="C118" s="167"/>
      <c r="D118" s="167"/>
      <c r="E118" s="167"/>
      <c r="F118" s="167"/>
      <c r="G118" s="41"/>
      <c r="H118" s="41"/>
      <c r="I118" s="41"/>
      <c r="J118" s="41"/>
      <c r="K118" s="168"/>
      <c r="L118" s="168"/>
      <c r="M118" s="168"/>
      <c r="N118" s="168"/>
      <c r="O118" s="154">
        <v>2</v>
      </c>
      <c r="P118" s="166" t="s">
        <v>513</v>
      </c>
      <c r="Q118" s="167">
        <v>670</v>
      </c>
      <c r="R118" s="167"/>
      <c r="S118" s="167"/>
      <c r="T118" s="167"/>
      <c r="U118" s="168"/>
      <c r="V118" s="168"/>
      <c r="W118" s="168"/>
      <c r="X118" s="168"/>
      <c r="Y118" s="154"/>
      <c r="Z118" s="286"/>
      <c r="AA118" s="287"/>
      <c r="AB118" s="170">
        <v>2</v>
      </c>
      <c r="AC118" s="171" t="s">
        <v>514</v>
      </c>
      <c r="AD118" s="170">
        <f t="shared" si="10"/>
        <v>737.00000000000011</v>
      </c>
      <c r="AE118" s="170"/>
      <c r="AF118" s="170"/>
      <c r="AG118" s="170"/>
      <c r="AH118" s="170">
        <v>2</v>
      </c>
      <c r="AI118" s="171" t="s">
        <v>514</v>
      </c>
      <c r="AJ118" s="170">
        <f t="shared" si="8"/>
        <v>515.90000000000009</v>
      </c>
      <c r="AK118" s="170"/>
      <c r="AL118" s="170"/>
      <c r="AM118" s="170"/>
      <c r="AN118" s="176" t="s">
        <v>318</v>
      </c>
    </row>
    <row r="119" spans="1:40" ht="81" customHeight="1" x14ac:dyDescent="0.3">
      <c r="A119" s="154"/>
      <c r="B119" s="166"/>
      <c r="C119" s="167"/>
      <c r="D119" s="167"/>
      <c r="E119" s="167"/>
      <c r="F119" s="167"/>
      <c r="G119" s="41"/>
      <c r="H119" s="41"/>
      <c r="I119" s="41"/>
      <c r="J119" s="41"/>
      <c r="K119" s="168"/>
      <c r="L119" s="168"/>
      <c r="M119" s="168"/>
      <c r="N119" s="168"/>
      <c r="O119" s="154">
        <v>3</v>
      </c>
      <c r="P119" s="166" t="s">
        <v>515</v>
      </c>
      <c r="Q119" s="167">
        <v>670</v>
      </c>
      <c r="R119" s="167"/>
      <c r="S119" s="167"/>
      <c r="T119" s="167"/>
      <c r="U119" s="168"/>
      <c r="V119" s="168"/>
      <c r="W119" s="168"/>
      <c r="X119" s="168"/>
      <c r="Y119" s="154"/>
      <c r="Z119" s="286"/>
      <c r="AA119" s="287"/>
      <c r="AB119" s="170">
        <v>3</v>
      </c>
      <c r="AC119" s="171" t="s">
        <v>516</v>
      </c>
      <c r="AD119" s="170">
        <f t="shared" si="10"/>
        <v>737.00000000000011</v>
      </c>
      <c r="AE119" s="170"/>
      <c r="AF119" s="170"/>
      <c r="AG119" s="170"/>
      <c r="AH119" s="170">
        <v>3</v>
      </c>
      <c r="AI119" s="171" t="s">
        <v>516</v>
      </c>
      <c r="AJ119" s="170">
        <f t="shared" si="8"/>
        <v>515.90000000000009</v>
      </c>
      <c r="AK119" s="170"/>
      <c r="AL119" s="170"/>
      <c r="AM119" s="170"/>
      <c r="AN119" s="176" t="s">
        <v>318</v>
      </c>
    </row>
    <row r="120" spans="1:40" ht="37.5" customHeight="1" x14ac:dyDescent="0.3">
      <c r="A120" s="154"/>
      <c r="B120" s="166"/>
      <c r="C120" s="167"/>
      <c r="D120" s="167"/>
      <c r="E120" s="167"/>
      <c r="F120" s="167"/>
      <c r="G120" s="41"/>
      <c r="H120" s="41"/>
      <c r="I120" s="41"/>
      <c r="J120" s="41"/>
      <c r="K120" s="168"/>
      <c r="L120" s="168"/>
      <c r="M120" s="168"/>
      <c r="N120" s="168"/>
      <c r="O120" s="154">
        <v>4</v>
      </c>
      <c r="P120" s="166" t="s">
        <v>517</v>
      </c>
      <c r="Q120" s="167">
        <v>670</v>
      </c>
      <c r="R120" s="167"/>
      <c r="S120" s="167"/>
      <c r="T120" s="167"/>
      <c r="U120" s="168"/>
      <c r="V120" s="168"/>
      <c r="W120" s="168"/>
      <c r="X120" s="168"/>
      <c r="Y120" s="154"/>
      <c r="Z120" s="286"/>
      <c r="AA120" s="287"/>
      <c r="AB120" s="170">
        <v>4</v>
      </c>
      <c r="AC120" s="171" t="s">
        <v>518</v>
      </c>
      <c r="AD120" s="170">
        <f t="shared" si="10"/>
        <v>737.00000000000011</v>
      </c>
      <c r="AE120" s="170"/>
      <c r="AF120" s="170"/>
      <c r="AG120" s="170"/>
      <c r="AH120" s="170">
        <v>4</v>
      </c>
      <c r="AI120" s="171" t="s">
        <v>518</v>
      </c>
      <c r="AJ120" s="170">
        <f t="shared" si="8"/>
        <v>515.90000000000009</v>
      </c>
      <c r="AK120" s="170"/>
      <c r="AL120" s="170"/>
      <c r="AM120" s="170"/>
      <c r="AN120" s="176" t="s">
        <v>318</v>
      </c>
    </row>
    <row r="121" spans="1:40" ht="37.5" customHeight="1" x14ac:dyDescent="0.3">
      <c r="A121" s="154"/>
      <c r="B121" s="166"/>
      <c r="C121" s="167"/>
      <c r="D121" s="167"/>
      <c r="E121" s="167"/>
      <c r="F121" s="167"/>
      <c r="G121" s="41"/>
      <c r="H121" s="41"/>
      <c r="I121" s="41"/>
      <c r="J121" s="41"/>
      <c r="K121" s="168"/>
      <c r="L121" s="168"/>
      <c r="M121" s="168"/>
      <c r="N121" s="168"/>
      <c r="O121" s="154">
        <v>5</v>
      </c>
      <c r="P121" s="166" t="s">
        <v>519</v>
      </c>
      <c r="Q121" s="167">
        <v>670</v>
      </c>
      <c r="R121" s="167"/>
      <c r="S121" s="167"/>
      <c r="T121" s="167"/>
      <c r="U121" s="168"/>
      <c r="V121" s="168"/>
      <c r="W121" s="168"/>
      <c r="X121" s="168"/>
      <c r="Y121" s="154"/>
      <c r="Z121" s="286"/>
      <c r="AA121" s="287"/>
      <c r="AB121" s="170">
        <v>5</v>
      </c>
      <c r="AC121" s="171" t="s">
        <v>520</v>
      </c>
      <c r="AD121" s="170">
        <f t="shared" si="10"/>
        <v>737.00000000000011</v>
      </c>
      <c r="AE121" s="170"/>
      <c r="AF121" s="170"/>
      <c r="AG121" s="170"/>
      <c r="AH121" s="170">
        <v>5</v>
      </c>
      <c r="AI121" s="171" t="s">
        <v>520</v>
      </c>
      <c r="AJ121" s="170">
        <f t="shared" si="8"/>
        <v>515.90000000000009</v>
      </c>
      <c r="AK121" s="170"/>
      <c r="AL121" s="170"/>
      <c r="AM121" s="170"/>
      <c r="AN121" s="176" t="s">
        <v>318</v>
      </c>
    </row>
    <row r="122" spans="1:40" ht="37.5" customHeight="1" x14ac:dyDescent="0.3">
      <c r="A122" s="154"/>
      <c r="B122" s="166"/>
      <c r="C122" s="167"/>
      <c r="D122" s="167"/>
      <c r="E122" s="167"/>
      <c r="F122" s="167"/>
      <c r="G122" s="41"/>
      <c r="H122" s="41"/>
      <c r="I122" s="41"/>
      <c r="J122" s="41"/>
      <c r="K122" s="168"/>
      <c r="L122" s="168"/>
      <c r="M122" s="168"/>
      <c r="N122" s="168"/>
      <c r="O122" s="154">
        <v>6</v>
      </c>
      <c r="P122" s="166" t="s">
        <v>521</v>
      </c>
      <c r="Q122" s="167">
        <v>670</v>
      </c>
      <c r="R122" s="167"/>
      <c r="S122" s="167"/>
      <c r="T122" s="167"/>
      <c r="U122" s="168"/>
      <c r="V122" s="168"/>
      <c r="W122" s="168"/>
      <c r="X122" s="168"/>
      <c r="Y122" s="154"/>
      <c r="Z122" s="286"/>
      <c r="AA122" s="287"/>
      <c r="AB122" s="170">
        <v>6</v>
      </c>
      <c r="AC122" s="171" t="s">
        <v>522</v>
      </c>
      <c r="AD122" s="170">
        <f t="shared" si="10"/>
        <v>737.00000000000011</v>
      </c>
      <c r="AE122" s="170"/>
      <c r="AF122" s="170"/>
      <c r="AG122" s="170"/>
      <c r="AH122" s="170">
        <v>6</v>
      </c>
      <c r="AI122" s="171" t="s">
        <v>522</v>
      </c>
      <c r="AJ122" s="170">
        <f t="shared" si="8"/>
        <v>515.90000000000009</v>
      </c>
      <c r="AK122" s="170"/>
      <c r="AL122" s="170"/>
      <c r="AM122" s="170"/>
      <c r="AN122" s="176" t="s">
        <v>318</v>
      </c>
    </row>
    <row r="123" spans="1:40" ht="37.5" customHeight="1" x14ac:dyDescent="0.3">
      <c r="A123" s="154"/>
      <c r="B123" s="166"/>
      <c r="C123" s="167"/>
      <c r="D123" s="167"/>
      <c r="E123" s="167"/>
      <c r="F123" s="167"/>
      <c r="G123" s="41"/>
      <c r="H123" s="41"/>
      <c r="I123" s="41"/>
      <c r="J123" s="41"/>
      <c r="K123" s="168"/>
      <c r="L123" s="168"/>
      <c r="M123" s="168"/>
      <c r="N123" s="168"/>
      <c r="O123" s="154">
        <v>7</v>
      </c>
      <c r="P123" s="166" t="s">
        <v>523</v>
      </c>
      <c r="Q123" s="167">
        <v>670</v>
      </c>
      <c r="R123" s="167"/>
      <c r="S123" s="167"/>
      <c r="T123" s="167"/>
      <c r="U123" s="168"/>
      <c r="V123" s="168"/>
      <c r="W123" s="168"/>
      <c r="X123" s="168"/>
      <c r="Y123" s="154"/>
      <c r="Z123" s="286"/>
      <c r="AA123" s="287"/>
      <c r="AB123" s="170">
        <v>7</v>
      </c>
      <c r="AC123" s="171" t="s">
        <v>524</v>
      </c>
      <c r="AD123" s="170">
        <f t="shared" si="10"/>
        <v>737.00000000000011</v>
      </c>
      <c r="AE123" s="170"/>
      <c r="AF123" s="170"/>
      <c r="AG123" s="170"/>
      <c r="AH123" s="170">
        <v>7</v>
      </c>
      <c r="AI123" s="171" t="s">
        <v>524</v>
      </c>
      <c r="AJ123" s="170">
        <f t="shared" si="8"/>
        <v>515.90000000000009</v>
      </c>
      <c r="AK123" s="170"/>
      <c r="AL123" s="170"/>
      <c r="AM123" s="170"/>
      <c r="AN123" s="176" t="s">
        <v>318</v>
      </c>
    </row>
    <row r="124" spans="1:40" ht="33.75" customHeight="1" x14ac:dyDescent="0.3">
      <c r="A124" s="154"/>
      <c r="B124" s="166"/>
      <c r="C124" s="167"/>
      <c r="D124" s="167"/>
      <c r="E124" s="167"/>
      <c r="F124" s="167"/>
      <c r="G124" s="41"/>
      <c r="H124" s="41"/>
      <c r="I124" s="41"/>
      <c r="J124" s="41"/>
      <c r="K124" s="168"/>
      <c r="L124" s="168"/>
      <c r="M124" s="168"/>
      <c r="N124" s="168"/>
      <c r="O124" s="154">
        <v>8</v>
      </c>
      <c r="P124" s="166" t="s">
        <v>525</v>
      </c>
      <c r="Q124" s="167">
        <v>670</v>
      </c>
      <c r="R124" s="167"/>
      <c r="S124" s="167"/>
      <c r="T124" s="167"/>
      <c r="U124" s="168"/>
      <c r="V124" s="168"/>
      <c r="W124" s="168"/>
      <c r="X124" s="168"/>
      <c r="Y124" s="154"/>
      <c r="Z124" s="286"/>
      <c r="AA124" s="287"/>
      <c r="AB124" s="170">
        <v>8</v>
      </c>
      <c r="AC124" s="171" t="s">
        <v>526</v>
      </c>
      <c r="AD124" s="170">
        <f t="shared" si="10"/>
        <v>737.00000000000011</v>
      </c>
      <c r="AE124" s="170"/>
      <c r="AF124" s="170"/>
      <c r="AG124" s="170"/>
      <c r="AH124" s="170">
        <v>8</v>
      </c>
      <c r="AI124" s="171" t="s">
        <v>526</v>
      </c>
      <c r="AJ124" s="170">
        <f t="shared" si="8"/>
        <v>515.90000000000009</v>
      </c>
      <c r="AK124" s="170"/>
      <c r="AL124" s="170"/>
      <c r="AM124" s="170"/>
      <c r="AN124" s="176" t="s">
        <v>318</v>
      </c>
    </row>
    <row r="125" spans="1:40" ht="30" customHeight="1" x14ac:dyDescent="0.3">
      <c r="A125" s="154"/>
      <c r="B125" s="166"/>
      <c r="C125" s="167"/>
      <c r="D125" s="167"/>
      <c r="E125" s="167"/>
      <c r="F125" s="167"/>
      <c r="G125" s="41"/>
      <c r="H125" s="41"/>
      <c r="I125" s="41"/>
      <c r="J125" s="41"/>
      <c r="K125" s="168"/>
      <c r="L125" s="168"/>
      <c r="M125" s="168"/>
      <c r="N125" s="168"/>
      <c r="O125" s="154" t="s">
        <v>527</v>
      </c>
      <c r="P125" s="186" t="s">
        <v>528</v>
      </c>
      <c r="Q125" s="167"/>
      <c r="R125" s="167"/>
      <c r="S125" s="167"/>
      <c r="T125" s="167"/>
      <c r="U125" s="168"/>
      <c r="V125" s="168"/>
      <c r="W125" s="168"/>
      <c r="X125" s="168"/>
      <c r="Y125" s="154"/>
      <c r="Z125" s="286"/>
      <c r="AA125" s="287"/>
      <c r="AB125" s="170" t="s">
        <v>527</v>
      </c>
      <c r="AC125" s="164" t="s">
        <v>529</v>
      </c>
      <c r="AD125" s="170"/>
      <c r="AE125" s="170"/>
      <c r="AF125" s="170"/>
      <c r="AG125" s="170"/>
      <c r="AH125" s="170" t="s">
        <v>527</v>
      </c>
      <c r="AI125" s="164" t="s">
        <v>529</v>
      </c>
      <c r="AJ125" s="170"/>
      <c r="AK125" s="170"/>
      <c r="AL125" s="170"/>
      <c r="AM125" s="170"/>
      <c r="AN125" s="176"/>
    </row>
    <row r="126" spans="1:40" ht="30" customHeight="1" x14ac:dyDescent="0.3">
      <c r="A126" s="154"/>
      <c r="B126" s="166"/>
      <c r="C126" s="167"/>
      <c r="D126" s="167"/>
      <c r="E126" s="167"/>
      <c r="F126" s="167"/>
      <c r="G126" s="41"/>
      <c r="H126" s="41"/>
      <c r="I126" s="41"/>
      <c r="J126" s="41"/>
      <c r="K126" s="168"/>
      <c r="L126" s="168"/>
      <c r="M126" s="168"/>
      <c r="N126" s="168"/>
      <c r="O126" s="154" t="s">
        <v>7</v>
      </c>
      <c r="P126" s="162" t="s">
        <v>376</v>
      </c>
      <c r="Q126" s="167"/>
      <c r="R126" s="167"/>
      <c r="S126" s="167"/>
      <c r="T126" s="167"/>
      <c r="U126" s="168"/>
      <c r="V126" s="168"/>
      <c r="W126" s="168"/>
      <c r="X126" s="168"/>
      <c r="Y126" s="154"/>
      <c r="Z126" s="286"/>
      <c r="AA126" s="287"/>
      <c r="AB126" s="170" t="s">
        <v>7</v>
      </c>
      <c r="AC126" s="164" t="s">
        <v>530</v>
      </c>
      <c r="AD126" s="170"/>
      <c r="AE126" s="170"/>
      <c r="AF126" s="170"/>
      <c r="AG126" s="170"/>
      <c r="AH126" s="170" t="s">
        <v>7</v>
      </c>
      <c r="AI126" s="164" t="s">
        <v>530</v>
      </c>
      <c r="AJ126" s="170"/>
      <c r="AK126" s="170"/>
      <c r="AL126" s="170"/>
      <c r="AM126" s="170"/>
      <c r="AN126" s="176"/>
    </row>
    <row r="127" spans="1:40" ht="42" customHeight="1" x14ac:dyDescent="0.3">
      <c r="A127" s="154"/>
      <c r="B127" s="166"/>
      <c r="C127" s="167"/>
      <c r="D127" s="167"/>
      <c r="E127" s="167"/>
      <c r="F127" s="167"/>
      <c r="G127" s="41"/>
      <c r="H127" s="41"/>
      <c r="I127" s="41"/>
      <c r="J127" s="41"/>
      <c r="K127" s="168"/>
      <c r="L127" s="168"/>
      <c r="M127" s="168"/>
      <c r="N127" s="168"/>
      <c r="O127" s="154">
        <v>1</v>
      </c>
      <c r="P127" s="166" t="s">
        <v>531</v>
      </c>
      <c r="Q127" s="167">
        <v>980</v>
      </c>
      <c r="R127" s="167"/>
      <c r="S127" s="167"/>
      <c r="T127" s="167"/>
      <c r="U127" s="168"/>
      <c r="V127" s="168"/>
      <c r="W127" s="168"/>
      <c r="X127" s="168"/>
      <c r="Y127" s="154"/>
      <c r="Z127" s="286"/>
      <c r="AA127" s="287"/>
      <c r="AB127" s="170">
        <v>1</v>
      </c>
      <c r="AC127" s="171" t="s">
        <v>532</v>
      </c>
      <c r="AD127" s="170">
        <f>Q127*1.1</f>
        <v>1078</v>
      </c>
      <c r="AE127" s="170"/>
      <c r="AF127" s="170"/>
      <c r="AG127" s="170"/>
      <c r="AH127" s="170">
        <v>1</v>
      </c>
      <c r="AI127" s="171" t="s">
        <v>532</v>
      </c>
      <c r="AJ127" s="170">
        <f t="shared" si="8"/>
        <v>754.59999999999991</v>
      </c>
      <c r="AK127" s="170"/>
      <c r="AL127" s="170"/>
      <c r="AM127" s="170"/>
      <c r="AN127" s="176" t="s">
        <v>318</v>
      </c>
    </row>
    <row r="128" spans="1:40" ht="42" customHeight="1" x14ac:dyDescent="0.3">
      <c r="A128" s="154"/>
      <c r="B128" s="166"/>
      <c r="C128" s="167"/>
      <c r="D128" s="167"/>
      <c r="E128" s="167"/>
      <c r="F128" s="167"/>
      <c r="G128" s="41"/>
      <c r="H128" s="41"/>
      <c r="I128" s="41"/>
      <c r="J128" s="41"/>
      <c r="K128" s="168"/>
      <c r="L128" s="168"/>
      <c r="M128" s="168"/>
      <c r="N128" s="168"/>
      <c r="O128" s="154">
        <v>2</v>
      </c>
      <c r="P128" s="166" t="s">
        <v>533</v>
      </c>
      <c r="Q128" s="167">
        <v>1500</v>
      </c>
      <c r="R128" s="167"/>
      <c r="S128" s="167"/>
      <c r="T128" s="167"/>
      <c r="U128" s="168"/>
      <c r="V128" s="168"/>
      <c r="W128" s="168"/>
      <c r="X128" s="168"/>
      <c r="Y128" s="154"/>
      <c r="Z128" s="286"/>
      <c r="AA128" s="287"/>
      <c r="AB128" s="170">
        <v>2</v>
      </c>
      <c r="AC128" s="171" t="s">
        <v>534</v>
      </c>
      <c r="AD128" s="170">
        <f>Q128*1.1</f>
        <v>1650.0000000000002</v>
      </c>
      <c r="AE128" s="170"/>
      <c r="AF128" s="170"/>
      <c r="AG128" s="170"/>
      <c r="AH128" s="170">
        <v>2</v>
      </c>
      <c r="AI128" s="171" t="s">
        <v>534</v>
      </c>
      <c r="AJ128" s="170">
        <f t="shared" si="8"/>
        <v>1155</v>
      </c>
      <c r="AK128" s="170"/>
      <c r="AL128" s="170"/>
      <c r="AM128" s="170"/>
      <c r="AN128" s="176" t="s">
        <v>318</v>
      </c>
    </row>
    <row r="129" spans="1:40" ht="30" customHeight="1" x14ac:dyDescent="0.3">
      <c r="A129" s="154"/>
      <c r="B129" s="166"/>
      <c r="C129" s="167"/>
      <c r="D129" s="167"/>
      <c r="E129" s="167"/>
      <c r="F129" s="167"/>
      <c r="G129" s="41"/>
      <c r="H129" s="41"/>
      <c r="I129" s="41"/>
      <c r="J129" s="41"/>
      <c r="K129" s="168"/>
      <c r="L129" s="168"/>
      <c r="M129" s="168"/>
      <c r="N129" s="168"/>
      <c r="O129" s="154" t="s">
        <v>14</v>
      </c>
      <c r="P129" s="162" t="s">
        <v>535</v>
      </c>
      <c r="Q129" s="167"/>
      <c r="R129" s="167"/>
      <c r="S129" s="167"/>
      <c r="T129" s="167"/>
      <c r="U129" s="168"/>
      <c r="V129" s="168"/>
      <c r="W129" s="168"/>
      <c r="X129" s="168"/>
      <c r="Y129" s="154"/>
      <c r="Z129" s="286"/>
      <c r="AA129" s="287"/>
      <c r="AB129" s="170" t="s">
        <v>14</v>
      </c>
      <c r="AC129" s="164" t="s">
        <v>535</v>
      </c>
      <c r="AD129" s="170"/>
      <c r="AE129" s="170"/>
      <c r="AF129" s="170"/>
      <c r="AG129" s="170"/>
      <c r="AH129" s="163" t="s">
        <v>14</v>
      </c>
      <c r="AI129" s="164" t="s">
        <v>535</v>
      </c>
      <c r="AJ129" s="170"/>
      <c r="AK129" s="170"/>
      <c r="AL129" s="170"/>
      <c r="AM129" s="170"/>
      <c r="AN129" s="176"/>
    </row>
    <row r="130" spans="1:40" ht="30" customHeight="1" x14ac:dyDescent="0.3">
      <c r="A130" s="154"/>
      <c r="B130" s="166"/>
      <c r="C130" s="167"/>
      <c r="D130" s="167"/>
      <c r="E130" s="167"/>
      <c r="F130" s="167"/>
      <c r="G130" s="41"/>
      <c r="H130" s="41"/>
      <c r="I130" s="41"/>
      <c r="J130" s="41"/>
      <c r="K130" s="168"/>
      <c r="L130" s="168"/>
      <c r="M130" s="168"/>
      <c r="N130" s="168"/>
      <c r="O130" s="154">
        <v>1</v>
      </c>
      <c r="P130" s="166" t="s">
        <v>536</v>
      </c>
      <c r="Q130" s="167"/>
      <c r="R130" s="167"/>
      <c r="S130" s="167"/>
      <c r="T130" s="167"/>
      <c r="U130" s="168"/>
      <c r="V130" s="168"/>
      <c r="W130" s="168"/>
      <c r="X130" s="168"/>
      <c r="Y130" s="154"/>
      <c r="Z130" s="286"/>
      <c r="AA130" s="287"/>
      <c r="AB130" s="170">
        <v>1</v>
      </c>
      <c r="AC130" s="171" t="s">
        <v>537</v>
      </c>
      <c r="AD130" s="170"/>
      <c r="AE130" s="170"/>
      <c r="AF130" s="170"/>
      <c r="AG130" s="170"/>
      <c r="AH130" s="198">
        <v>1</v>
      </c>
      <c r="AI130" s="171" t="s">
        <v>537</v>
      </c>
      <c r="AJ130" s="170"/>
      <c r="AK130" s="170"/>
      <c r="AL130" s="170"/>
      <c r="AM130" s="170"/>
      <c r="AN130" s="176" t="s">
        <v>318</v>
      </c>
    </row>
    <row r="131" spans="1:40" ht="69" customHeight="1" x14ac:dyDescent="0.3">
      <c r="A131" s="154"/>
      <c r="B131" s="166"/>
      <c r="C131" s="167"/>
      <c r="D131" s="167"/>
      <c r="E131" s="167"/>
      <c r="F131" s="167"/>
      <c r="G131" s="41"/>
      <c r="H131" s="41"/>
      <c r="I131" s="41"/>
      <c r="J131" s="41"/>
      <c r="K131" s="168"/>
      <c r="L131" s="168"/>
      <c r="M131" s="168"/>
      <c r="N131" s="168"/>
      <c r="O131" s="154">
        <v>1.1000000000000001</v>
      </c>
      <c r="P131" s="166" t="s">
        <v>538</v>
      </c>
      <c r="Q131" s="167">
        <v>2100</v>
      </c>
      <c r="R131" s="167"/>
      <c r="S131" s="167"/>
      <c r="T131" s="167"/>
      <c r="U131" s="168"/>
      <c r="V131" s="168"/>
      <c r="W131" s="168"/>
      <c r="X131" s="168"/>
      <c r="Y131" s="154"/>
      <c r="Z131" s="286"/>
      <c r="AA131" s="287"/>
      <c r="AB131" s="170">
        <v>1.1000000000000001</v>
      </c>
      <c r="AC131" s="171" t="s">
        <v>539</v>
      </c>
      <c r="AD131" s="170">
        <v>3280</v>
      </c>
      <c r="AE131" s="170"/>
      <c r="AF131" s="170"/>
      <c r="AG131" s="170"/>
      <c r="AH131" s="198" t="s">
        <v>8</v>
      </c>
      <c r="AI131" s="171" t="s">
        <v>539</v>
      </c>
      <c r="AJ131" s="170">
        <f t="shared" si="8"/>
        <v>2296</v>
      </c>
      <c r="AK131" s="170"/>
      <c r="AL131" s="170"/>
      <c r="AM131" s="170"/>
      <c r="AN131" s="176" t="s">
        <v>540</v>
      </c>
    </row>
    <row r="132" spans="1:40" ht="57.75" customHeight="1" x14ac:dyDescent="0.3">
      <c r="A132" s="154"/>
      <c r="B132" s="166"/>
      <c r="C132" s="167"/>
      <c r="D132" s="167"/>
      <c r="E132" s="167"/>
      <c r="F132" s="167"/>
      <c r="G132" s="41"/>
      <c r="H132" s="41"/>
      <c r="I132" s="41"/>
      <c r="J132" s="41"/>
      <c r="K132" s="168"/>
      <c r="L132" s="168"/>
      <c r="M132" s="168"/>
      <c r="N132" s="168"/>
      <c r="O132" s="154">
        <v>1.2</v>
      </c>
      <c r="P132" s="166" t="s">
        <v>541</v>
      </c>
      <c r="Q132" s="167">
        <v>1500</v>
      </c>
      <c r="R132" s="167"/>
      <c r="S132" s="167"/>
      <c r="T132" s="167"/>
      <c r="U132" s="168"/>
      <c r="V132" s="168"/>
      <c r="W132" s="168"/>
      <c r="X132" s="168"/>
      <c r="Y132" s="154"/>
      <c r="Z132" s="286"/>
      <c r="AA132" s="287"/>
      <c r="AB132" s="170">
        <v>1.2</v>
      </c>
      <c r="AC132" s="171" t="s">
        <v>542</v>
      </c>
      <c r="AD132" s="170">
        <f>Q132*1.1</f>
        <v>1650.0000000000002</v>
      </c>
      <c r="AE132" s="170"/>
      <c r="AF132" s="170"/>
      <c r="AG132" s="170"/>
      <c r="AH132" s="198" t="s">
        <v>9</v>
      </c>
      <c r="AI132" s="171" t="s">
        <v>542</v>
      </c>
      <c r="AJ132" s="170">
        <f t="shared" si="8"/>
        <v>1155</v>
      </c>
      <c r="AK132" s="170"/>
      <c r="AL132" s="170"/>
      <c r="AM132" s="170"/>
      <c r="AN132" s="176" t="s">
        <v>318</v>
      </c>
    </row>
    <row r="133" spans="1:40" ht="68.25" customHeight="1" x14ac:dyDescent="0.3">
      <c r="A133" s="154"/>
      <c r="B133" s="166"/>
      <c r="C133" s="167"/>
      <c r="D133" s="167"/>
      <c r="E133" s="167"/>
      <c r="F133" s="167"/>
      <c r="G133" s="41"/>
      <c r="H133" s="41"/>
      <c r="I133" s="41"/>
      <c r="J133" s="41"/>
      <c r="K133" s="168"/>
      <c r="L133" s="168"/>
      <c r="M133" s="168"/>
      <c r="N133" s="168"/>
      <c r="O133" s="154">
        <v>1.3</v>
      </c>
      <c r="P133" s="166" t="s">
        <v>543</v>
      </c>
      <c r="Q133" s="167">
        <v>1800</v>
      </c>
      <c r="R133" s="167"/>
      <c r="S133" s="167"/>
      <c r="T133" s="167"/>
      <c r="U133" s="168"/>
      <c r="V133" s="168"/>
      <c r="W133" s="168"/>
      <c r="X133" s="168"/>
      <c r="Y133" s="154"/>
      <c r="Z133" s="286"/>
      <c r="AA133" s="287"/>
      <c r="AB133" s="170">
        <v>1.3</v>
      </c>
      <c r="AC133" s="171" t="s">
        <v>544</v>
      </c>
      <c r="AD133" s="170">
        <f>Q133*1.1</f>
        <v>1980.0000000000002</v>
      </c>
      <c r="AE133" s="170"/>
      <c r="AF133" s="170"/>
      <c r="AG133" s="170"/>
      <c r="AH133" s="198" t="s">
        <v>82</v>
      </c>
      <c r="AI133" s="171" t="s">
        <v>544</v>
      </c>
      <c r="AJ133" s="170">
        <f t="shared" si="8"/>
        <v>1386</v>
      </c>
      <c r="AK133" s="170"/>
      <c r="AL133" s="170"/>
      <c r="AM133" s="170"/>
      <c r="AN133" s="176" t="s">
        <v>318</v>
      </c>
    </row>
    <row r="134" spans="1:40" ht="63.75" customHeight="1" x14ac:dyDescent="0.3">
      <c r="A134" s="154"/>
      <c r="B134" s="166"/>
      <c r="C134" s="167"/>
      <c r="D134" s="167"/>
      <c r="E134" s="167"/>
      <c r="F134" s="167"/>
      <c r="G134" s="41"/>
      <c r="H134" s="41"/>
      <c r="I134" s="41"/>
      <c r="J134" s="41"/>
      <c r="K134" s="168"/>
      <c r="L134" s="168"/>
      <c r="M134" s="168"/>
      <c r="N134" s="168"/>
      <c r="O134" s="154">
        <v>1.4</v>
      </c>
      <c r="P134" s="166" t="s">
        <v>545</v>
      </c>
      <c r="Q134" s="167">
        <v>1050</v>
      </c>
      <c r="R134" s="167"/>
      <c r="S134" s="167"/>
      <c r="T134" s="167"/>
      <c r="U134" s="168"/>
      <c r="V134" s="168"/>
      <c r="W134" s="168"/>
      <c r="X134" s="168"/>
      <c r="Y134" s="154"/>
      <c r="Z134" s="286"/>
      <c r="AA134" s="287"/>
      <c r="AB134" s="170">
        <v>1.4</v>
      </c>
      <c r="AC134" s="171" t="s">
        <v>546</v>
      </c>
      <c r="AD134" s="170">
        <f>Q134*1.1</f>
        <v>1155</v>
      </c>
      <c r="AE134" s="170"/>
      <c r="AF134" s="170"/>
      <c r="AG134" s="170"/>
      <c r="AH134" s="198" t="s">
        <v>109</v>
      </c>
      <c r="AI134" s="171" t="s">
        <v>546</v>
      </c>
      <c r="AJ134" s="170">
        <f t="shared" si="8"/>
        <v>808.5</v>
      </c>
      <c r="AK134" s="170"/>
      <c r="AL134" s="170"/>
      <c r="AM134" s="170"/>
      <c r="AN134" s="176" t="s">
        <v>318</v>
      </c>
    </row>
    <row r="135" spans="1:40" ht="39" customHeight="1" x14ac:dyDescent="0.3">
      <c r="A135" s="154"/>
      <c r="B135" s="166"/>
      <c r="C135" s="167"/>
      <c r="D135" s="167"/>
      <c r="E135" s="167"/>
      <c r="F135" s="167"/>
      <c r="G135" s="41"/>
      <c r="H135" s="41"/>
      <c r="I135" s="41"/>
      <c r="J135" s="41"/>
      <c r="K135" s="168"/>
      <c r="L135" s="168"/>
      <c r="M135" s="168"/>
      <c r="N135" s="168"/>
      <c r="O135" s="154">
        <v>2</v>
      </c>
      <c r="P135" s="166" t="s">
        <v>547</v>
      </c>
      <c r="Q135" s="167">
        <v>1050</v>
      </c>
      <c r="R135" s="167"/>
      <c r="S135" s="167"/>
      <c r="T135" s="167"/>
      <c r="U135" s="168"/>
      <c r="V135" s="168"/>
      <c r="W135" s="168"/>
      <c r="X135" s="168"/>
      <c r="Y135" s="154"/>
      <c r="Z135" s="286"/>
      <c r="AA135" s="287"/>
      <c r="AB135" s="170">
        <v>2</v>
      </c>
      <c r="AC135" s="171" t="s">
        <v>548</v>
      </c>
      <c r="AD135" s="170">
        <v>1642</v>
      </c>
      <c r="AE135" s="170"/>
      <c r="AF135" s="170"/>
      <c r="AG135" s="170"/>
      <c r="AH135" s="198">
        <v>2</v>
      </c>
      <c r="AI135" s="171" t="s">
        <v>548</v>
      </c>
      <c r="AJ135" s="170">
        <f t="shared" si="8"/>
        <v>1149.3999999999999</v>
      </c>
      <c r="AK135" s="170"/>
      <c r="AL135" s="170"/>
      <c r="AM135" s="170"/>
      <c r="AN135" s="176" t="s">
        <v>549</v>
      </c>
    </row>
    <row r="136" spans="1:40" ht="33.75" customHeight="1" x14ac:dyDescent="0.3">
      <c r="A136" s="154"/>
      <c r="B136" s="166"/>
      <c r="C136" s="167"/>
      <c r="D136" s="167"/>
      <c r="E136" s="167"/>
      <c r="F136" s="167"/>
      <c r="G136" s="41"/>
      <c r="H136" s="41"/>
      <c r="I136" s="41"/>
      <c r="J136" s="41"/>
      <c r="K136" s="168"/>
      <c r="L136" s="168"/>
      <c r="M136" s="168"/>
      <c r="N136" s="168"/>
      <c r="O136" s="154">
        <v>3</v>
      </c>
      <c r="P136" s="166" t="s">
        <v>550</v>
      </c>
      <c r="Q136" s="167"/>
      <c r="R136" s="167"/>
      <c r="S136" s="167"/>
      <c r="T136" s="167"/>
      <c r="U136" s="168"/>
      <c r="V136" s="168"/>
      <c r="W136" s="168"/>
      <c r="X136" s="168"/>
      <c r="Y136" s="154"/>
      <c r="Z136" s="286"/>
      <c r="AA136" s="287"/>
      <c r="AB136" s="170">
        <v>3</v>
      </c>
      <c r="AC136" s="171" t="s">
        <v>551</v>
      </c>
      <c r="AD136" s="170"/>
      <c r="AE136" s="170"/>
      <c r="AF136" s="170"/>
      <c r="AG136" s="170"/>
      <c r="AH136" s="198">
        <v>3</v>
      </c>
      <c r="AI136" s="171" t="s">
        <v>551</v>
      </c>
      <c r="AJ136" s="170"/>
      <c r="AK136" s="170"/>
      <c r="AL136" s="170"/>
      <c r="AM136" s="170"/>
      <c r="AN136" s="176" t="s">
        <v>318</v>
      </c>
    </row>
    <row r="137" spans="1:40" ht="72.75" customHeight="1" x14ac:dyDescent="0.3">
      <c r="A137" s="154"/>
      <c r="B137" s="166"/>
      <c r="C137" s="167"/>
      <c r="D137" s="167"/>
      <c r="E137" s="167"/>
      <c r="F137" s="167"/>
      <c r="G137" s="41"/>
      <c r="H137" s="41"/>
      <c r="I137" s="41"/>
      <c r="J137" s="41"/>
      <c r="K137" s="168"/>
      <c r="L137" s="168"/>
      <c r="M137" s="168"/>
      <c r="N137" s="168"/>
      <c r="O137" s="154">
        <v>3.1</v>
      </c>
      <c r="P137" s="166" t="s">
        <v>552</v>
      </c>
      <c r="Q137" s="167">
        <v>1220</v>
      </c>
      <c r="R137" s="167"/>
      <c r="S137" s="167"/>
      <c r="T137" s="167"/>
      <c r="U137" s="168"/>
      <c r="V137" s="168"/>
      <c r="W137" s="168"/>
      <c r="X137" s="168"/>
      <c r="Y137" s="154"/>
      <c r="Z137" s="286"/>
      <c r="AA137" s="287"/>
      <c r="AB137" s="170">
        <v>3.1</v>
      </c>
      <c r="AC137" s="171" t="s">
        <v>553</v>
      </c>
      <c r="AD137" s="170">
        <f>Q137*1.1</f>
        <v>1342</v>
      </c>
      <c r="AE137" s="170"/>
      <c r="AF137" s="170"/>
      <c r="AG137" s="170"/>
      <c r="AH137" s="198" t="s">
        <v>15</v>
      </c>
      <c r="AI137" s="171" t="s">
        <v>553</v>
      </c>
      <c r="AJ137" s="170">
        <f t="shared" si="8"/>
        <v>939.4</v>
      </c>
      <c r="AK137" s="170"/>
      <c r="AL137" s="170"/>
      <c r="AM137" s="170"/>
      <c r="AN137" s="176" t="s">
        <v>318</v>
      </c>
    </row>
    <row r="138" spans="1:40" ht="78" customHeight="1" x14ac:dyDescent="0.3">
      <c r="A138" s="154"/>
      <c r="B138" s="166"/>
      <c r="C138" s="167"/>
      <c r="D138" s="167"/>
      <c r="E138" s="167"/>
      <c r="F138" s="167"/>
      <c r="G138" s="41"/>
      <c r="H138" s="41"/>
      <c r="I138" s="41"/>
      <c r="J138" s="41"/>
      <c r="K138" s="168"/>
      <c r="L138" s="168"/>
      <c r="M138" s="168"/>
      <c r="N138" s="168"/>
      <c r="O138" s="154">
        <v>3.2</v>
      </c>
      <c r="P138" s="166" t="s">
        <v>554</v>
      </c>
      <c r="Q138" s="167">
        <v>1160</v>
      </c>
      <c r="R138" s="167"/>
      <c r="S138" s="167"/>
      <c r="T138" s="167"/>
      <c r="U138" s="168"/>
      <c r="V138" s="168"/>
      <c r="W138" s="168"/>
      <c r="X138" s="168"/>
      <c r="Y138" s="154"/>
      <c r="Z138" s="286"/>
      <c r="AA138" s="287"/>
      <c r="AB138" s="170">
        <v>3.2</v>
      </c>
      <c r="AC138" s="171" t="s">
        <v>555</v>
      </c>
      <c r="AD138" s="170">
        <v>1621</v>
      </c>
      <c r="AE138" s="170"/>
      <c r="AF138" s="170"/>
      <c r="AG138" s="170"/>
      <c r="AH138" s="198" t="s">
        <v>16</v>
      </c>
      <c r="AI138" s="171" t="s">
        <v>555</v>
      </c>
      <c r="AJ138" s="170">
        <f t="shared" si="8"/>
        <v>1134.6999999999998</v>
      </c>
      <c r="AK138" s="170"/>
      <c r="AL138" s="170"/>
      <c r="AM138" s="170"/>
      <c r="AN138" s="176" t="s">
        <v>556</v>
      </c>
    </row>
    <row r="139" spans="1:40" ht="38.25" customHeight="1" x14ac:dyDescent="0.3">
      <c r="A139" s="154"/>
      <c r="B139" s="166"/>
      <c r="C139" s="167"/>
      <c r="D139" s="167"/>
      <c r="E139" s="167"/>
      <c r="F139" s="167"/>
      <c r="G139" s="41"/>
      <c r="H139" s="41"/>
      <c r="I139" s="41"/>
      <c r="J139" s="41"/>
      <c r="K139" s="168"/>
      <c r="L139" s="168"/>
      <c r="M139" s="168"/>
      <c r="N139" s="168"/>
      <c r="O139" s="154">
        <v>4</v>
      </c>
      <c r="P139" s="166" t="s">
        <v>557</v>
      </c>
      <c r="Q139" s="167">
        <v>1050</v>
      </c>
      <c r="R139" s="167"/>
      <c r="S139" s="167"/>
      <c r="T139" s="167"/>
      <c r="U139" s="168"/>
      <c r="V139" s="168"/>
      <c r="W139" s="168"/>
      <c r="X139" s="168"/>
      <c r="Y139" s="154"/>
      <c r="Z139" s="286"/>
      <c r="AA139" s="287"/>
      <c r="AB139" s="170">
        <v>4</v>
      </c>
      <c r="AC139" s="171" t="s">
        <v>558</v>
      </c>
      <c r="AD139" s="170">
        <f t="shared" ref="AD139:AD149" si="11">Q139*1.1</f>
        <v>1155</v>
      </c>
      <c r="AE139" s="170"/>
      <c r="AF139" s="170"/>
      <c r="AG139" s="170"/>
      <c r="AH139" s="198">
        <v>4</v>
      </c>
      <c r="AI139" s="171" t="s">
        <v>558</v>
      </c>
      <c r="AJ139" s="170">
        <f t="shared" si="8"/>
        <v>808.5</v>
      </c>
      <c r="AK139" s="170"/>
      <c r="AL139" s="170"/>
      <c r="AM139" s="170"/>
      <c r="AN139" s="176" t="s">
        <v>318</v>
      </c>
    </row>
    <row r="140" spans="1:40" ht="51" customHeight="1" x14ac:dyDescent="0.3">
      <c r="A140" s="154"/>
      <c r="B140" s="166"/>
      <c r="C140" s="167"/>
      <c r="D140" s="167"/>
      <c r="E140" s="167"/>
      <c r="F140" s="167"/>
      <c r="G140" s="41"/>
      <c r="H140" s="41"/>
      <c r="I140" s="41"/>
      <c r="J140" s="41"/>
      <c r="K140" s="168"/>
      <c r="L140" s="168"/>
      <c r="M140" s="168"/>
      <c r="N140" s="168"/>
      <c r="O140" s="154">
        <v>5</v>
      </c>
      <c r="P140" s="166" t="s">
        <v>559</v>
      </c>
      <c r="Q140" s="167">
        <v>1050</v>
      </c>
      <c r="R140" s="167"/>
      <c r="S140" s="167"/>
      <c r="T140" s="167"/>
      <c r="U140" s="168"/>
      <c r="V140" s="168"/>
      <c r="W140" s="168"/>
      <c r="X140" s="168"/>
      <c r="Y140" s="154"/>
      <c r="Z140" s="286"/>
      <c r="AA140" s="287"/>
      <c r="AB140" s="170">
        <v>5</v>
      </c>
      <c r="AC140" s="171" t="s">
        <v>560</v>
      </c>
      <c r="AD140" s="170">
        <f t="shared" si="11"/>
        <v>1155</v>
      </c>
      <c r="AE140" s="170"/>
      <c r="AF140" s="170"/>
      <c r="AG140" s="170"/>
      <c r="AH140" s="198">
        <v>5</v>
      </c>
      <c r="AI140" s="171" t="s">
        <v>560</v>
      </c>
      <c r="AJ140" s="170">
        <f t="shared" si="8"/>
        <v>808.5</v>
      </c>
      <c r="AK140" s="170"/>
      <c r="AL140" s="170"/>
      <c r="AM140" s="170"/>
      <c r="AN140" s="176" t="s">
        <v>318</v>
      </c>
    </row>
    <row r="141" spans="1:40" ht="57" customHeight="1" x14ac:dyDescent="0.3">
      <c r="A141" s="154"/>
      <c r="B141" s="166"/>
      <c r="C141" s="167"/>
      <c r="D141" s="167"/>
      <c r="E141" s="167"/>
      <c r="F141" s="167"/>
      <c r="G141" s="41"/>
      <c r="H141" s="41"/>
      <c r="I141" s="41"/>
      <c r="J141" s="41"/>
      <c r="K141" s="168"/>
      <c r="L141" s="168"/>
      <c r="M141" s="168"/>
      <c r="N141" s="168"/>
      <c r="O141" s="154">
        <v>6</v>
      </c>
      <c r="P141" s="166" t="s">
        <v>561</v>
      </c>
      <c r="Q141" s="167">
        <v>1050</v>
      </c>
      <c r="R141" s="167"/>
      <c r="S141" s="167"/>
      <c r="T141" s="167"/>
      <c r="U141" s="168"/>
      <c r="V141" s="168"/>
      <c r="W141" s="168"/>
      <c r="X141" s="168"/>
      <c r="Y141" s="154"/>
      <c r="Z141" s="286"/>
      <c r="AA141" s="287"/>
      <c r="AB141" s="170">
        <v>6</v>
      </c>
      <c r="AC141" s="171" t="s">
        <v>562</v>
      </c>
      <c r="AD141" s="170">
        <f t="shared" si="11"/>
        <v>1155</v>
      </c>
      <c r="AE141" s="170"/>
      <c r="AF141" s="170"/>
      <c r="AG141" s="170"/>
      <c r="AH141" s="198">
        <v>6</v>
      </c>
      <c r="AI141" s="171" t="s">
        <v>562</v>
      </c>
      <c r="AJ141" s="170">
        <f t="shared" si="8"/>
        <v>808.5</v>
      </c>
      <c r="AK141" s="170"/>
      <c r="AL141" s="170"/>
      <c r="AM141" s="170"/>
      <c r="AN141" s="176" t="s">
        <v>318</v>
      </c>
    </row>
    <row r="142" spans="1:40" ht="72.75" customHeight="1" x14ac:dyDescent="0.3">
      <c r="A142" s="154"/>
      <c r="B142" s="166"/>
      <c r="C142" s="167"/>
      <c r="D142" s="167"/>
      <c r="E142" s="167"/>
      <c r="F142" s="167"/>
      <c r="G142" s="41"/>
      <c r="H142" s="41"/>
      <c r="I142" s="41"/>
      <c r="J142" s="41"/>
      <c r="K142" s="168"/>
      <c r="L142" s="168"/>
      <c r="M142" s="168"/>
      <c r="N142" s="168"/>
      <c r="O142" s="154">
        <v>7</v>
      </c>
      <c r="P142" s="166" t="s">
        <v>563</v>
      </c>
      <c r="Q142" s="167">
        <v>1050</v>
      </c>
      <c r="R142" s="167"/>
      <c r="S142" s="167"/>
      <c r="T142" s="167"/>
      <c r="U142" s="168"/>
      <c r="V142" s="168"/>
      <c r="W142" s="168"/>
      <c r="X142" s="168"/>
      <c r="Y142" s="154"/>
      <c r="Z142" s="286"/>
      <c r="AA142" s="287"/>
      <c r="AB142" s="170">
        <v>7</v>
      </c>
      <c r="AC142" s="171" t="s">
        <v>564</v>
      </c>
      <c r="AD142" s="170">
        <f t="shared" si="11"/>
        <v>1155</v>
      </c>
      <c r="AE142" s="170"/>
      <c r="AF142" s="170"/>
      <c r="AG142" s="170"/>
      <c r="AH142" s="198">
        <v>7</v>
      </c>
      <c r="AI142" s="171" t="s">
        <v>564</v>
      </c>
      <c r="AJ142" s="170">
        <f t="shared" si="8"/>
        <v>808.5</v>
      </c>
      <c r="AK142" s="170"/>
      <c r="AL142" s="170"/>
      <c r="AM142" s="170"/>
      <c r="AN142" s="176" t="s">
        <v>318</v>
      </c>
    </row>
    <row r="143" spans="1:40" ht="42" customHeight="1" x14ac:dyDescent="0.3">
      <c r="A143" s="154"/>
      <c r="B143" s="166"/>
      <c r="C143" s="167"/>
      <c r="D143" s="167"/>
      <c r="E143" s="167"/>
      <c r="F143" s="167"/>
      <c r="G143" s="41"/>
      <c r="H143" s="41"/>
      <c r="I143" s="41"/>
      <c r="J143" s="41"/>
      <c r="K143" s="168"/>
      <c r="L143" s="168"/>
      <c r="M143" s="168"/>
      <c r="N143" s="168"/>
      <c r="O143" s="154">
        <v>8</v>
      </c>
      <c r="P143" s="166" t="s">
        <v>565</v>
      </c>
      <c r="Q143" s="167">
        <v>1050</v>
      </c>
      <c r="R143" s="167"/>
      <c r="S143" s="167"/>
      <c r="T143" s="167"/>
      <c r="U143" s="168"/>
      <c r="V143" s="168"/>
      <c r="W143" s="168"/>
      <c r="X143" s="168"/>
      <c r="Y143" s="154"/>
      <c r="Z143" s="286"/>
      <c r="AA143" s="287"/>
      <c r="AB143" s="170">
        <v>8</v>
      </c>
      <c r="AC143" s="171" t="s">
        <v>566</v>
      </c>
      <c r="AD143" s="170">
        <f t="shared" si="11"/>
        <v>1155</v>
      </c>
      <c r="AE143" s="170"/>
      <c r="AF143" s="170"/>
      <c r="AG143" s="170"/>
      <c r="AH143" s="198">
        <v>8</v>
      </c>
      <c r="AI143" s="171" t="s">
        <v>566</v>
      </c>
      <c r="AJ143" s="170">
        <f t="shared" ref="AJ143:AJ159" si="12">AD143*0.7</f>
        <v>808.5</v>
      </c>
      <c r="AK143" s="170"/>
      <c r="AL143" s="170"/>
      <c r="AM143" s="170"/>
      <c r="AN143" s="176" t="s">
        <v>318</v>
      </c>
    </row>
    <row r="144" spans="1:40" ht="42" customHeight="1" x14ac:dyDescent="0.3">
      <c r="A144" s="154"/>
      <c r="B144" s="166"/>
      <c r="C144" s="167"/>
      <c r="D144" s="167"/>
      <c r="E144" s="167"/>
      <c r="F144" s="167"/>
      <c r="G144" s="41"/>
      <c r="H144" s="41"/>
      <c r="I144" s="41"/>
      <c r="J144" s="41"/>
      <c r="K144" s="168"/>
      <c r="L144" s="168"/>
      <c r="M144" s="168"/>
      <c r="N144" s="168"/>
      <c r="O144" s="154">
        <v>9</v>
      </c>
      <c r="P144" s="166" t="s">
        <v>567</v>
      </c>
      <c r="Q144" s="167">
        <v>1120</v>
      </c>
      <c r="R144" s="167"/>
      <c r="S144" s="167"/>
      <c r="T144" s="167"/>
      <c r="U144" s="168"/>
      <c r="V144" s="168"/>
      <c r="W144" s="168"/>
      <c r="X144" s="168"/>
      <c r="Y144" s="154"/>
      <c r="Z144" s="286"/>
      <c r="AA144" s="287"/>
      <c r="AB144" s="170">
        <v>9</v>
      </c>
      <c r="AC144" s="171" t="s">
        <v>568</v>
      </c>
      <c r="AD144" s="170">
        <f t="shared" si="11"/>
        <v>1232</v>
      </c>
      <c r="AE144" s="170"/>
      <c r="AF144" s="170"/>
      <c r="AG144" s="170"/>
      <c r="AH144" s="198">
        <v>9</v>
      </c>
      <c r="AI144" s="171" t="s">
        <v>568</v>
      </c>
      <c r="AJ144" s="170">
        <f t="shared" si="12"/>
        <v>862.4</v>
      </c>
      <c r="AK144" s="170"/>
      <c r="AL144" s="170"/>
      <c r="AM144" s="170"/>
      <c r="AN144" s="176" t="s">
        <v>318</v>
      </c>
    </row>
    <row r="145" spans="1:40" ht="42" customHeight="1" x14ac:dyDescent="0.3">
      <c r="A145" s="154"/>
      <c r="B145" s="166"/>
      <c r="C145" s="167"/>
      <c r="D145" s="167"/>
      <c r="E145" s="167"/>
      <c r="F145" s="167"/>
      <c r="G145" s="41"/>
      <c r="H145" s="41"/>
      <c r="I145" s="41"/>
      <c r="J145" s="41"/>
      <c r="K145" s="168"/>
      <c r="L145" s="168"/>
      <c r="M145" s="168"/>
      <c r="N145" s="168"/>
      <c r="O145" s="154">
        <v>10</v>
      </c>
      <c r="P145" s="166" t="s">
        <v>569</v>
      </c>
      <c r="Q145" s="167">
        <v>1120</v>
      </c>
      <c r="R145" s="167"/>
      <c r="S145" s="167"/>
      <c r="T145" s="167"/>
      <c r="U145" s="168"/>
      <c r="V145" s="168"/>
      <c r="W145" s="168"/>
      <c r="X145" s="168"/>
      <c r="Y145" s="154"/>
      <c r="Z145" s="286"/>
      <c r="AA145" s="287"/>
      <c r="AB145" s="170">
        <v>10</v>
      </c>
      <c r="AC145" s="171" t="s">
        <v>570</v>
      </c>
      <c r="AD145" s="170">
        <f t="shared" si="11"/>
        <v>1232</v>
      </c>
      <c r="AE145" s="170"/>
      <c r="AF145" s="170"/>
      <c r="AG145" s="170"/>
      <c r="AH145" s="198">
        <v>10</v>
      </c>
      <c r="AI145" s="171" t="s">
        <v>570</v>
      </c>
      <c r="AJ145" s="170">
        <f t="shared" si="12"/>
        <v>862.4</v>
      </c>
      <c r="AK145" s="170"/>
      <c r="AL145" s="170"/>
      <c r="AM145" s="170"/>
      <c r="AN145" s="176" t="s">
        <v>318</v>
      </c>
    </row>
    <row r="146" spans="1:40" ht="51" customHeight="1" x14ac:dyDescent="0.3">
      <c r="A146" s="154"/>
      <c r="B146" s="166"/>
      <c r="C146" s="167"/>
      <c r="D146" s="167"/>
      <c r="E146" s="167"/>
      <c r="F146" s="167"/>
      <c r="G146" s="41"/>
      <c r="H146" s="41"/>
      <c r="I146" s="41"/>
      <c r="J146" s="41"/>
      <c r="K146" s="168"/>
      <c r="L146" s="168"/>
      <c r="M146" s="168"/>
      <c r="N146" s="168"/>
      <c r="O146" s="154">
        <v>11</v>
      </c>
      <c r="P146" s="166" t="s">
        <v>571</v>
      </c>
      <c r="Q146" s="167">
        <v>2100</v>
      </c>
      <c r="R146" s="167"/>
      <c r="S146" s="167"/>
      <c r="T146" s="167"/>
      <c r="U146" s="168"/>
      <c r="V146" s="168"/>
      <c r="W146" s="168"/>
      <c r="X146" s="168"/>
      <c r="Y146" s="154"/>
      <c r="Z146" s="286"/>
      <c r="AA146" s="287"/>
      <c r="AB146" s="170">
        <v>11</v>
      </c>
      <c r="AC146" s="171" t="str">
        <f>P146</f>
        <v>Đường CK11: Đoạn từ đầu cầu cơ khí đến giao nhau với QL12;</v>
      </c>
      <c r="AD146" s="170">
        <f t="shared" si="11"/>
        <v>2310</v>
      </c>
      <c r="AE146" s="170"/>
      <c r="AF146" s="170"/>
      <c r="AG146" s="170"/>
      <c r="AH146" s="198">
        <v>11</v>
      </c>
      <c r="AI146" s="171" t="str">
        <f>AC146</f>
        <v>Đường CK11: Đoạn từ đầu cầu cơ khí đến giao nhau với QL12;</v>
      </c>
      <c r="AJ146" s="170">
        <f t="shared" si="12"/>
        <v>1617</v>
      </c>
      <c r="AK146" s="170"/>
      <c r="AL146" s="170"/>
      <c r="AM146" s="170"/>
      <c r="AN146" s="176" t="s">
        <v>315</v>
      </c>
    </row>
    <row r="147" spans="1:40" ht="42.75" customHeight="1" x14ac:dyDescent="0.3">
      <c r="A147" s="154"/>
      <c r="B147" s="166"/>
      <c r="C147" s="167"/>
      <c r="D147" s="167"/>
      <c r="E147" s="167"/>
      <c r="F147" s="167"/>
      <c r="G147" s="41"/>
      <c r="H147" s="41"/>
      <c r="I147" s="41"/>
      <c r="J147" s="41"/>
      <c r="K147" s="168"/>
      <c r="L147" s="168"/>
      <c r="M147" s="168"/>
      <c r="N147" s="168"/>
      <c r="O147" s="154">
        <v>12</v>
      </c>
      <c r="P147" s="166" t="s">
        <v>572</v>
      </c>
      <c r="Q147" s="167">
        <v>1050</v>
      </c>
      <c r="R147" s="167"/>
      <c r="S147" s="167"/>
      <c r="T147" s="167"/>
      <c r="U147" s="168"/>
      <c r="V147" s="168"/>
      <c r="W147" s="168"/>
      <c r="X147" s="168"/>
      <c r="Y147" s="154"/>
      <c r="Z147" s="286"/>
      <c r="AA147" s="287"/>
      <c r="AB147" s="170">
        <v>12</v>
      </c>
      <c r="AC147" s="171" t="s">
        <v>573</v>
      </c>
      <c r="AD147" s="170">
        <f t="shared" si="11"/>
        <v>1155</v>
      </c>
      <c r="AE147" s="170"/>
      <c r="AF147" s="170"/>
      <c r="AG147" s="170"/>
      <c r="AH147" s="198">
        <v>12</v>
      </c>
      <c r="AI147" s="171" t="s">
        <v>573</v>
      </c>
      <c r="AJ147" s="170">
        <f t="shared" si="12"/>
        <v>808.5</v>
      </c>
      <c r="AK147" s="170"/>
      <c r="AL147" s="170"/>
      <c r="AM147" s="170"/>
      <c r="AN147" s="176" t="s">
        <v>318</v>
      </c>
    </row>
    <row r="148" spans="1:40" ht="42.75" customHeight="1" x14ac:dyDescent="0.3">
      <c r="A148" s="154"/>
      <c r="B148" s="166"/>
      <c r="C148" s="167"/>
      <c r="D148" s="167"/>
      <c r="E148" s="167"/>
      <c r="F148" s="167"/>
      <c r="G148" s="41"/>
      <c r="H148" s="41"/>
      <c r="I148" s="41"/>
      <c r="J148" s="41"/>
      <c r="K148" s="168"/>
      <c r="L148" s="168"/>
      <c r="M148" s="168"/>
      <c r="N148" s="168"/>
      <c r="O148" s="154">
        <v>13</v>
      </c>
      <c r="P148" s="166" t="s">
        <v>574</v>
      </c>
      <c r="Q148" s="167">
        <v>1050</v>
      </c>
      <c r="R148" s="167"/>
      <c r="S148" s="167"/>
      <c r="T148" s="167"/>
      <c r="U148" s="168"/>
      <c r="V148" s="168"/>
      <c r="W148" s="168"/>
      <c r="X148" s="168"/>
      <c r="Y148" s="154"/>
      <c r="Z148" s="286"/>
      <c r="AA148" s="287"/>
      <c r="AB148" s="170">
        <v>13</v>
      </c>
      <c r="AC148" s="171" t="s">
        <v>575</v>
      </c>
      <c r="AD148" s="170">
        <f t="shared" si="11"/>
        <v>1155</v>
      </c>
      <c r="AE148" s="170"/>
      <c r="AF148" s="170"/>
      <c r="AG148" s="170"/>
      <c r="AH148" s="198">
        <v>13</v>
      </c>
      <c r="AI148" s="171" t="s">
        <v>575</v>
      </c>
      <c r="AJ148" s="170">
        <f t="shared" si="12"/>
        <v>808.5</v>
      </c>
      <c r="AK148" s="170"/>
      <c r="AL148" s="170"/>
      <c r="AM148" s="170"/>
      <c r="AN148" s="176" t="s">
        <v>318</v>
      </c>
    </row>
    <row r="149" spans="1:40" ht="42.75" customHeight="1" x14ac:dyDescent="0.3">
      <c r="A149" s="154"/>
      <c r="B149" s="166"/>
      <c r="C149" s="167"/>
      <c r="D149" s="167"/>
      <c r="E149" s="167"/>
      <c r="F149" s="167"/>
      <c r="G149" s="41"/>
      <c r="H149" s="41"/>
      <c r="I149" s="41"/>
      <c r="J149" s="41"/>
      <c r="K149" s="168"/>
      <c r="L149" s="168"/>
      <c r="M149" s="168"/>
      <c r="N149" s="168"/>
      <c r="O149" s="154">
        <v>14</v>
      </c>
      <c r="P149" s="166" t="s">
        <v>576</v>
      </c>
      <c r="Q149" s="167">
        <v>1120</v>
      </c>
      <c r="R149" s="167"/>
      <c r="S149" s="167"/>
      <c r="T149" s="167"/>
      <c r="U149" s="168"/>
      <c r="V149" s="168"/>
      <c r="W149" s="168"/>
      <c r="X149" s="168"/>
      <c r="Y149" s="154"/>
      <c r="Z149" s="286"/>
      <c r="AA149" s="287"/>
      <c r="AB149" s="170">
        <v>14</v>
      </c>
      <c r="AC149" s="171" t="s">
        <v>577</v>
      </c>
      <c r="AD149" s="170">
        <f t="shared" si="11"/>
        <v>1232</v>
      </c>
      <c r="AE149" s="170"/>
      <c r="AF149" s="170"/>
      <c r="AG149" s="170"/>
      <c r="AH149" s="198">
        <v>14</v>
      </c>
      <c r="AI149" s="171" t="s">
        <v>577</v>
      </c>
      <c r="AJ149" s="170">
        <f t="shared" si="12"/>
        <v>862.4</v>
      </c>
      <c r="AK149" s="170"/>
      <c r="AL149" s="170"/>
      <c r="AM149" s="170"/>
      <c r="AN149" s="176" t="s">
        <v>318</v>
      </c>
    </row>
    <row r="150" spans="1:40" s="191" customFormat="1" ht="30.75" customHeight="1" x14ac:dyDescent="0.3">
      <c r="A150" s="156"/>
      <c r="B150" s="181"/>
      <c r="C150" s="188"/>
      <c r="D150" s="188"/>
      <c r="E150" s="188"/>
      <c r="F150" s="188"/>
      <c r="G150" s="43"/>
      <c r="H150" s="43"/>
      <c r="I150" s="43"/>
      <c r="J150" s="43"/>
      <c r="K150" s="189"/>
      <c r="L150" s="189"/>
      <c r="M150" s="189"/>
      <c r="N150" s="189"/>
      <c r="O150" s="156" t="s">
        <v>17</v>
      </c>
      <c r="P150" s="94" t="s">
        <v>578</v>
      </c>
      <c r="Q150" s="188"/>
      <c r="R150" s="188"/>
      <c r="S150" s="188"/>
      <c r="T150" s="188"/>
      <c r="U150" s="189"/>
      <c r="V150" s="189"/>
      <c r="W150" s="189"/>
      <c r="X150" s="189"/>
      <c r="Y150" s="156"/>
      <c r="Z150" s="286"/>
      <c r="AA150" s="287"/>
      <c r="AB150" s="163" t="s">
        <v>17</v>
      </c>
      <c r="AC150" s="192" t="s">
        <v>578</v>
      </c>
      <c r="AD150" s="163"/>
      <c r="AE150" s="163"/>
      <c r="AF150" s="163"/>
      <c r="AG150" s="163"/>
      <c r="AH150" s="163" t="s">
        <v>17</v>
      </c>
      <c r="AI150" s="192" t="s">
        <v>578</v>
      </c>
      <c r="AJ150" s="170"/>
      <c r="AK150" s="163"/>
      <c r="AL150" s="163"/>
      <c r="AM150" s="163"/>
      <c r="AN150" s="190"/>
    </row>
    <row r="151" spans="1:40" ht="76.5" customHeight="1" x14ac:dyDescent="0.3">
      <c r="A151" s="154"/>
      <c r="B151" s="166"/>
      <c r="C151" s="167"/>
      <c r="D151" s="167"/>
      <c r="E151" s="167"/>
      <c r="F151" s="167"/>
      <c r="G151" s="41"/>
      <c r="H151" s="41"/>
      <c r="I151" s="41"/>
      <c r="J151" s="41"/>
      <c r="K151" s="168"/>
      <c r="L151" s="168"/>
      <c r="M151" s="168"/>
      <c r="N151" s="168"/>
      <c r="O151" s="154">
        <v>1</v>
      </c>
      <c r="P151" s="166" t="s">
        <v>579</v>
      </c>
      <c r="Q151" s="167">
        <v>1000</v>
      </c>
      <c r="R151" s="167"/>
      <c r="S151" s="167"/>
      <c r="T151" s="167"/>
      <c r="U151" s="168"/>
      <c r="V151" s="168"/>
      <c r="W151" s="168"/>
      <c r="X151" s="168"/>
      <c r="Y151" s="154"/>
      <c r="Z151" s="286"/>
      <c r="AA151" s="287"/>
      <c r="AB151" s="170">
        <v>1</v>
      </c>
      <c r="AC151" s="171" t="s">
        <v>580</v>
      </c>
      <c r="AD151" s="170">
        <f>Q151*1.1</f>
        <v>1100</v>
      </c>
      <c r="AE151" s="170"/>
      <c r="AF151" s="170"/>
      <c r="AG151" s="170"/>
      <c r="AH151" s="170">
        <v>1</v>
      </c>
      <c r="AI151" s="171" t="s">
        <v>580</v>
      </c>
      <c r="AJ151" s="170">
        <f t="shared" si="12"/>
        <v>770</v>
      </c>
      <c r="AK151" s="170"/>
      <c r="AL151" s="170"/>
      <c r="AM151" s="170"/>
      <c r="AN151" s="176" t="s">
        <v>318</v>
      </c>
    </row>
    <row r="152" spans="1:40" ht="62.25" customHeight="1" x14ac:dyDescent="0.3">
      <c r="A152" s="154"/>
      <c r="B152" s="166"/>
      <c r="C152" s="167"/>
      <c r="D152" s="167"/>
      <c r="E152" s="167"/>
      <c r="F152" s="167"/>
      <c r="G152" s="41"/>
      <c r="H152" s="41"/>
      <c r="I152" s="41"/>
      <c r="J152" s="41"/>
      <c r="K152" s="168"/>
      <c r="L152" s="168"/>
      <c r="M152" s="168"/>
      <c r="N152" s="168"/>
      <c r="O152" s="154">
        <v>2</v>
      </c>
      <c r="P152" s="166" t="s">
        <v>581</v>
      </c>
      <c r="Q152" s="167">
        <v>700</v>
      </c>
      <c r="R152" s="167"/>
      <c r="S152" s="167"/>
      <c r="T152" s="167"/>
      <c r="U152" s="168"/>
      <c r="V152" s="168"/>
      <c r="W152" s="168"/>
      <c r="X152" s="168"/>
      <c r="Y152" s="154"/>
      <c r="Z152" s="286"/>
      <c r="AA152" s="287"/>
      <c r="AB152" s="170">
        <v>2</v>
      </c>
      <c r="AC152" s="171" t="s">
        <v>582</v>
      </c>
      <c r="AD152" s="170">
        <f>Q152*1.1</f>
        <v>770.00000000000011</v>
      </c>
      <c r="AE152" s="170"/>
      <c r="AF152" s="170"/>
      <c r="AG152" s="170"/>
      <c r="AH152" s="170">
        <v>2</v>
      </c>
      <c r="AI152" s="171" t="s">
        <v>582</v>
      </c>
      <c r="AJ152" s="170">
        <f t="shared" si="12"/>
        <v>539</v>
      </c>
      <c r="AK152" s="170"/>
      <c r="AL152" s="170"/>
      <c r="AM152" s="170"/>
      <c r="AN152" s="176" t="s">
        <v>318</v>
      </c>
    </row>
    <row r="153" spans="1:40" ht="72" customHeight="1" x14ac:dyDescent="0.3">
      <c r="A153" s="154"/>
      <c r="B153" s="166"/>
      <c r="C153" s="167"/>
      <c r="D153" s="167"/>
      <c r="E153" s="167"/>
      <c r="F153" s="167"/>
      <c r="G153" s="41"/>
      <c r="H153" s="41"/>
      <c r="I153" s="41"/>
      <c r="J153" s="41"/>
      <c r="K153" s="168"/>
      <c r="L153" s="168"/>
      <c r="M153" s="168"/>
      <c r="N153" s="168"/>
      <c r="O153" s="154">
        <v>3</v>
      </c>
      <c r="P153" s="166" t="s">
        <v>583</v>
      </c>
      <c r="Q153" s="167">
        <v>700</v>
      </c>
      <c r="R153" s="167"/>
      <c r="S153" s="167"/>
      <c r="T153" s="167"/>
      <c r="U153" s="168"/>
      <c r="V153" s="168"/>
      <c r="W153" s="168"/>
      <c r="X153" s="168"/>
      <c r="Y153" s="154"/>
      <c r="Z153" s="286"/>
      <c r="AA153" s="287"/>
      <c r="AB153" s="170">
        <v>3</v>
      </c>
      <c r="AC153" s="171" t="s">
        <v>584</v>
      </c>
      <c r="AD153" s="170">
        <v>1069</v>
      </c>
      <c r="AE153" s="170"/>
      <c r="AF153" s="170"/>
      <c r="AG153" s="170"/>
      <c r="AH153" s="170">
        <v>3</v>
      </c>
      <c r="AI153" s="171" t="s">
        <v>584</v>
      </c>
      <c r="AJ153" s="170">
        <f t="shared" si="12"/>
        <v>748.3</v>
      </c>
      <c r="AK153" s="170"/>
      <c r="AL153" s="170"/>
      <c r="AM153" s="170"/>
      <c r="AN153" s="176" t="s">
        <v>585</v>
      </c>
    </row>
    <row r="154" spans="1:40" ht="38.25" customHeight="1" x14ac:dyDescent="0.3">
      <c r="A154" s="154"/>
      <c r="B154" s="166"/>
      <c r="C154" s="167"/>
      <c r="D154" s="167"/>
      <c r="E154" s="167"/>
      <c r="F154" s="167"/>
      <c r="G154" s="41"/>
      <c r="H154" s="41"/>
      <c r="I154" s="41"/>
      <c r="J154" s="41"/>
      <c r="K154" s="168"/>
      <c r="L154" s="168"/>
      <c r="M154" s="168"/>
      <c r="N154" s="168"/>
      <c r="O154" s="154">
        <v>4</v>
      </c>
      <c r="P154" s="166" t="s">
        <v>586</v>
      </c>
      <c r="Q154" s="167">
        <v>700</v>
      </c>
      <c r="R154" s="167"/>
      <c r="S154" s="167"/>
      <c r="T154" s="167"/>
      <c r="U154" s="168"/>
      <c r="V154" s="168"/>
      <c r="W154" s="168"/>
      <c r="X154" s="168"/>
      <c r="Y154" s="154"/>
      <c r="Z154" s="286"/>
      <c r="AA154" s="287"/>
      <c r="AB154" s="170">
        <v>4</v>
      </c>
      <c r="AC154" s="171" t="s">
        <v>587</v>
      </c>
      <c r="AD154" s="170">
        <f>Q154*1.1</f>
        <v>770.00000000000011</v>
      </c>
      <c r="AE154" s="170"/>
      <c r="AF154" s="170"/>
      <c r="AG154" s="170"/>
      <c r="AH154" s="170">
        <v>4</v>
      </c>
      <c r="AI154" s="171" t="s">
        <v>587</v>
      </c>
      <c r="AJ154" s="170">
        <f t="shared" si="12"/>
        <v>539</v>
      </c>
      <c r="AK154" s="170"/>
      <c r="AL154" s="170"/>
      <c r="AM154" s="170"/>
      <c r="AN154" s="176" t="s">
        <v>318</v>
      </c>
    </row>
    <row r="155" spans="1:40" ht="51" customHeight="1" x14ac:dyDescent="0.3">
      <c r="A155" s="154"/>
      <c r="B155" s="166"/>
      <c r="C155" s="167"/>
      <c r="D155" s="167"/>
      <c r="E155" s="167"/>
      <c r="F155" s="167"/>
      <c r="G155" s="41"/>
      <c r="H155" s="41"/>
      <c r="I155" s="41"/>
      <c r="J155" s="41"/>
      <c r="K155" s="168"/>
      <c r="L155" s="168"/>
      <c r="M155" s="168"/>
      <c r="N155" s="168"/>
      <c r="O155" s="154">
        <v>5</v>
      </c>
      <c r="P155" s="166" t="s">
        <v>588</v>
      </c>
      <c r="Q155" s="167">
        <v>700</v>
      </c>
      <c r="R155" s="167"/>
      <c r="S155" s="167"/>
      <c r="T155" s="167"/>
      <c r="U155" s="168"/>
      <c r="V155" s="168"/>
      <c r="W155" s="168"/>
      <c r="X155" s="168"/>
      <c r="Y155" s="154"/>
      <c r="Z155" s="286"/>
      <c r="AA155" s="287"/>
      <c r="AB155" s="170">
        <v>5</v>
      </c>
      <c r="AC155" s="171" t="s">
        <v>589</v>
      </c>
      <c r="AD155" s="170">
        <f>Q155*1.1</f>
        <v>770.00000000000011</v>
      </c>
      <c r="AE155" s="170"/>
      <c r="AF155" s="170"/>
      <c r="AG155" s="170"/>
      <c r="AH155" s="170">
        <v>5</v>
      </c>
      <c r="AI155" s="171" t="s">
        <v>589</v>
      </c>
      <c r="AJ155" s="170">
        <f t="shared" si="12"/>
        <v>539</v>
      </c>
      <c r="AK155" s="170"/>
      <c r="AL155" s="170"/>
      <c r="AM155" s="170"/>
      <c r="AN155" s="176" t="s">
        <v>318</v>
      </c>
    </row>
    <row r="156" spans="1:40" ht="33" customHeight="1" x14ac:dyDescent="0.3">
      <c r="A156" s="154"/>
      <c r="B156" s="166"/>
      <c r="C156" s="167"/>
      <c r="D156" s="167"/>
      <c r="E156" s="167"/>
      <c r="F156" s="167"/>
      <c r="G156" s="41"/>
      <c r="H156" s="41"/>
      <c r="I156" s="41"/>
      <c r="J156" s="41"/>
      <c r="K156" s="168"/>
      <c r="L156" s="168"/>
      <c r="M156" s="168"/>
      <c r="N156" s="168"/>
      <c r="O156" s="154">
        <v>6</v>
      </c>
      <c r="P156" s="166" t="s">
        <v>590</v>
      </c>
      <c r="Q156" s="167">
        <v>700</v>
      </c>
      <c r="R156" s="167"/>
      <c r="S156" s="167"/>
      <c r="T156" s="167"/>
      <c r="U156" s="168"/>
      <c r="V156" s="168"/>
      <c r="W156" s="168"/>
      <c r="X156" s="168"/>
      <c r="Y156" s="154"/>
      <c r="Z156" s="286"/>
      <c r="AA156" s="287"/>
      <c r="AB156" s="170">
        <v>6</v>
      </c>
      <c r="AC156" s="171" t="s">
        <v>591</v>
      </c>
      <c r="AD156" s="170">
        <f>Q156*1.1</f>
        <v>770.00000000000011</v>
      </c>
      <c r="AE156" s="170"/>
      <c r="AF156" s="170"/>
      <c r="AG156" s="170"/>
      <c r="AH156" s="170">
        <v>6</v>
      </c>
      <c r="AI156" s="171" t="s">
        <v>591</v>
      </c>
      <c r="AJ156" s="170">
        <f t="shared" si="12"/>
        <v>539</v>
      </c>
      <c r="AK156" s="170"/>
      <c r="AL156" s="170"/>
      <c r="AM156" s="170"/>
      <c r="AN156" s="176" t="s">
        <v>318</v>
      </c>
    </row>
    <row r="157" spans="1:40" ht="51" customHeight="1" x14ac:dyDescent="0.3">
      <c r="A157" s="154"/>
      <c r="B157" s="166"/>
      <c r="C157" s="167"/>
      <c r="D157" s="167"/>
      <c r="E157" s="167"/>
      <c r="F157" s="167"/>
      <c r="G157" s="41"/>
      <c r="H157" s="41"/>
      <c r="I157" s="41"/>
      <c r="J157" s="41"/>
      <c r="K157" s="168"/>
      <c r="L157" s="168"/>
      <c r="M157" s="168"/>
      <c r="N157" s="168"/>
      <c r="O157" s="154">
        <v>7</v>
      </c>
      <c r="P157" s="166" t="s">
        <v>592</v>
      </c>
      <c r="Q157" s="167">
        <v>700</v>
      </c>
      <c r="R157" s="167"/>
      <c r="S157" s="167"/>
      <c r="T157" s="167"/>
      <c r="U157" s="168"/>
      <c r="V157" s="168"/>
      <c r="W157" s="168"/>
      <c r="X157" s="168"/>
      <c r="Y157" s="154"/>
      <c r="Z157" s="286"/>
      <c r="AA157" s="287"/>
      <c r="AB157" s="170">
        <v>7</v>
      </c>
      <c r="AC157" s="171" t="s">
        <v>593</v>
      </c>
      <c r="AD157" s="170">
        <f>Q157*1.1</f>
        <v>770.00000000000011</v>
      </c>
      <c r="AE157" s="170"/>
      <c r="AF157" s="170"/>
      <c r="AG157" s="170"/>
      <c r="AH157" s="170">
        <v>7</v>
      </c>
      <c r="AI157" s="171" t="s">
        <v>593</v>
      </c>
      <c r="AJ157" s="170">
        <f t="shared" si="12"/>
        <v>539</v>
      </c>
      <c r="AK157" s="170"/>
      <c r="AL157" s="170"/>
      <c r="AM157" s="170"/>
      <c r="AN157" s="176" t="s">
        <v>318</v>
      </c>
    </row>
    <row r="158" spans="1:40" ht="30" customHeight="1" x14ac:dyDescent="0.3">
      <c r="A158" s="154"/>
      <c r="B158" s="166"/>
      <c r="C158" s="167"/>
      <c r="D158" s="167"/>
      <c r="E158" s="167"/>
      <c r="F158" s="167"/>
      <c r="G158" s="41"/>
      <c r="H158" s="41"/>
      <c r="I158" s="41"/>
      <c r="J158" s="41"/>
      <c r="K158" s="168"/>
      <c r="L158" s="168"/>
      <c r="M158" s="168"/>
      <c r="N158" s="168"/>
      <c r="O158" s="156" t="s">
        <v>594</v>
      </c>
      <c r="P158" s="181" t="s">
        <v>595</v>
      </c>
      <c r="Q158" s="188"/>
      <c r="R158" s="188"/>
      <c r="S158" s="188"/>
      <c r="T158" s="188"/>
      <c r="U158" s="189"/>
      <c r="V158" s="189"/>
      <c r="W158" s="189"/>
      <c r="X158" s="189"/>
      <c r="Y158" s="156"/>
      <c r="Z158" s="155"/>
      <c r="AA158" s="156"/>
      <c r="AB158" s="163" t="str">
        <f>O158</f>
        <v>D</v>
      </c>
      <c r="AC158" s="183" t="str">
        <f>P158</f>
        <v>Trục đường quốc lộ 6</v>
      </c>
      <c r="AD158" s="170"/>
      <c r="AE158" s="170"/>
      <c r="AF158" s="170"/>
      <c r="AG158" s="170"/>
      <c r="AH158" s="163" t="s">
        <v>594</v>
      </c>
      <c r="AI158" s="183" t="s">
        <v>596</v>
      </c>
      <c r="AJ158" s="170"/>
      <c r="AK158" s="170"/>
      <c r="AL158" s="170"/>
      <c r="AM158" s="170"/>
      <c r="AN158" s="176"/>
    </row>
    <row r="159" spans="1:40" ht="36.75" customHeight="1" x14ac:dyDescent="0.3">
      <c r="A159" s="154"/>
      <c r="B159" s="166"/>
      <c r="C159" s="167"/>
      <c r="D159" s="167"/>
      <c r="E159" s="167"/>
      <c r="F159" s="167"/>
      <c r="G159" s="41"/>
      <c r="H159" s="41"/>
      <c r="I159" s="41"/>
      <c r="J159" s="41"/>
      <c r="K159" s="168"/>
      <c r="L159" s="168"/>
      <c r="M159" s="168"/>
      <c r="N159" s="168"/>
      <c r="O159" s="154">
        <v>1</v>
      </c>
      <c r="P159" s="166" t="s">
        <v>597</v>
      </c>
      <c r="Q159" s="167">
        <v>392</v>
      </c>
      <c r="R159" s="167">
        <v>322</v>
      </c>
      <c r="S159" s="167">
        <v>260</v>
      </c>
      <c r="T159" s="167">
        <v>170</v>
      </c>
      <c r="U159" s="168"/>
      <c r="V159" s="168"/>
      <c r="W159" s="168"/>
      <c r="X159" s="168"/>
      <c r="Y159" s="154"/>
      <c r="Z159" s="172"/>
      <c r="AA159" s="154"/>
      <c r="AB159" s="170">
        <f>O159</f>
        <v>1</v>
      </c>
      <c r="AC159" s="171" t="str">
        <f>P159</f>
        <v>Đoạn từ ngã ba Đường Quốc Lộ 12 đến hết địa phận thị xã Mường Lay</v>
      </c>
      <c r="AD159" s="170">
        <f>Q159*1.1</f>
        <v>431.20000000000005</v>
      </c>
      <c r="AE159" s="170">
        <f>R159*1.1</f>
        <v>354.20000000000005</v>
      </c>
      <c r="AF159" s="170">
        <f>S159*1.1</f>
        <v>286</v>
      </c>
      <c r="AG159" s="170">
        <f>T159*1.1</f>
        <v>187.00000000000003</v>
      </c>
      <c r="AH159" s="170">
        <v>1</v>
      </c>
      <c r="AI159" s="171" t="s">
        <v>598</v>
      </c>
      <c r="AJ159" s="170">
        <f t="shared" si="12"/>
        <v>301.84000000000003</v>
      </c>
      <c r="AK159" s="170">
        <f>AE159*0.8</f>
        <v>283.36000000000007</v>
      </c>
      <c r="AL159" s="170">
        <f>AF159*0.8</f>
        <v>228.8</v>
      </c>
      <c r="AM159" s="170">
        <f>AG159*0.8</f>
        <v>149.60000000000002</v>
      </c>
      <c r="AN159" s="176" t="s">
        <v>315</v>
      </c>
    </row>
  </sheetData>
  <mergeCells count="21">
    <mergeCell ref="Z14:Z157"/>
    <mergeCell ref="AA14:AA157"/>
    <mergeCell ref="AI3:AI4"/>
    <mergeCell ref="AN3:AN4"/>
    <mergeCell ref="Z3:Z4"/>
    <mergeCell ref="AA3:AA4"/>
    <mergeCell ref="AB3:AB4"/>
    <mergeCell ref="AC3:AC4"/>
    <mergeCell ref="AD3:AG3"/>
    <mergeCell ref="AH3:AH4"/>
    <mergeCell ref="O1:AN1"/>
    <mergeCell ref="O2:AM2"/>
    <mergeCell ref="A3:F3"/>
    <mergeCell ref="G3:J3"/>
    <mergeCell ref="K3:N3"/>
    <mergeCell ref="O3:O4"/>
    <mergeCell ref="P3:P4"/>
    <mergeCell ref="Q3:T3"/>
    <mergeCell ref="U3:X3"/>
    <mergeCell ref="Y3:Y4"/>
    <mergeCell ref="AJ3:AL3"/>
  </mergeCells>
  <pageMargins left="0.28740157500000002" right="0.140551181" top="0.49055118110236201" bottom="0.140551181" header="0.118110236220472" footer="0.118110236220472"/>
  <pageSetup paperSize="9" scale="95" firstPageNumber="36"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1.TP ĐBP </vt:lpstr>
      <vt:lpstr>2. Điện Biên Đông</vt:lpstr>
      <vt:lpstr>3. Mường Ảng</vt:lpstr>
      <vt:lpstr>4.Tuần Giáo</vt:lpstr>
      <vt:lpstr>5.Mường Chà</vt:lpstr>
      <vt:lpstr>6.Tủa Chùa</vt:lpstr>
      <vt:lpstr>7. Mường Lay</vt:lpstr>
      <vt:lpstr>'1.TP ĐBP '!Print_Titles</vt:lpstr>
      <vt:lpstr>'2. Điện Biên Đông'!Print_Titles</vt:lpstr>
      <vt:lpstr>'3. Mường Ảng'!Print_Titles</vt:lpstr>
      <vt:lpstr>'4.Tuần Giáo'!Print_Titles</vt:lpstr>
      <vt:lpstr>'5.Mường Chà'!Print_Titles</vt:lpstr>
      <vt:lpstr>'6.Tủa Chùa'!Print_Titles</vt:lpstr>
      <vt:lpstr>'7. Mường Lay'!Print_Titles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2024-12-08T04:56:38Z</dcterms:modified>
</cp:coreProperties>
</file>